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240" windowWidth="27900" windowHeight="11580" tabRatio="887" firstSheet="2" activeTab="13"/>
  </bookViews>
  <sheets>
    <sheet name="начало" sheetId="6" state="hidden" r:id="rId1"/>
    <sheet name="1.План" sheetId="35" state="hidden" r:id="rId2"/>
    <sheet name="План" sheetId="56" r:id="rId3"/>
    <sheet name="2.ДП" sheetId="48" r:id="rId4"/>
    <sheet name="ППП" sheetId="28" r:id="rId5"/>
    <sheet name="3-10.ДПЖ" sheetId="24" state="hidden" r:id="rId6"/>
    <sheet name="3 корм ЛОШ" sheetId="45" r:id="rId7"/>
    <sheet name="11-18.КОРМА" sheetId="25" state="hidden" r:id="rId8"/>
    <sheet name="Табл.1-2" sheetId="1" state="hidden" r:id="rId9"/>
    <sheet name="4.защ лош" sheetId="29" r:id="rId10"/>
    <sheet name="ПрСбытПрП" sheetId="3" r:id="rId11"/>
    <sheet name="ТРП" sheetId="4" r:id="rId12"/>
    <sheet name="5.ФОТ" sheetId="49" r:id="rId13"/>
    <sheet name="фИН РЕЗ" sheetId="50" r:id="rId14"/>
    <sheet name="22.ППР" sheetId="7" state="hidden" r:id="rId15"/>
    <sheet name="22.ФОТ" sheetId="5" state="hidden" r:id="rId16"/>
    <sheet name="23.Налоги" sheetId="15" state="hidden" r:id="rId17"/>
    <sheet name="24.Финрез" sheetId="9" state="hidden" r:id="rId18"/>
    <sheet name="26-27.ЭФФПР" sheetId="14" state="hidden" r:id="rId19"/>
    <sheet name="25.БалДенСр" sheetId="12" state="hidden" r:id="rId20"/>
    <sheet name="27.Безуб" sheetId="11" state="hidden" r:id="rId21"/>
    <sheet name="Риски" sheetId="8" state="hidden" r:id="rId22"/>
    <sheet name="28.ПЛАН о Фин.сост" sheetId="30" state="hidden" r:id="rId23"/>
    <sheet name="КРМД-22" sheetId="22" state="hidden" r:id="rId24"/>
    <sheet name="КРМД-23" sheetId="23" state="hidden" r:id="rId25"/>
    <sheet name="КРМД-24" sheetId="31" state="hidden" r:id="rId26"/>
    <sheet name="КРМД-25" sheetId="32" state="hidden" r:id="rId27"/>
    <sheet name="КРМД-26" sheetId="33" state="hidden" r:id="rId28"/>
    <sheet name="Затраты" sheetId="34" state="hidden" r:id="rId29"/>
    <sheet name="Кредит" sheetId="37" state="hidden" r:id="rId30"/>
    <sheet name="Лист4" sheetId="38" state="hidden" r:id="rId31"/>
    <sheet name="Лист5" sheetId="39" state="hidden" r:id="rId32"/>
    <sheet name="Лист6" sheetId="40" state="hidden" r:id="rId33"/>
    <sheet name="Лист7" sheetId="41" state="hidden" r:id="rId34"/>
    <sheet name="Лист8" sheetId="42" state="hidden" r:id="rId35"/>
    <sheet name="Лист1" sheetId="43" state="hidden" r:id="rId36"/>
    <sheet name="Лист2" sheetId="46" state="hidden" r:id="rId37"/>
    <sheet name="Касса" sheetId="53" r:id="rId38"/>
    <sheet name="Эффект" sheetId="54" r:id="rId39"/>
    <sheet name="6.Кред" sheetId="55"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#REF!</definedName>
    <definedName name="\m">#REF!</definedName>
    <definedName name="\n">#REF!</definedName>
    <definedName name="\o">#REF!</definedName>
    <definedName name="__SP1">[1]FES!#REF!</definedName>
    <definedName name="__SP10">[1]FES!#REF!</definedName>
    <definedName name="__SP11">[1]FES!#REF!</definedName>
    <definedName name="__SP12">[1]FES!#REF!</definedName>
    <definedName name="__SP13">[1]FES!#REF!</definedName>
    <definedName name="__SP14">[1]FES!#REF!</definedName>
    <definedName name="__SP15">[1]FES!#REF!</definedName>
    <definedName name="__SP16">[1]FES!#REF!</definedName>
    <definedName name="__SP17">[1]FES!#REF!</definedName>
    <definedName name="__SP18">[1]FES!#REF!</definedName>
    <definedName name="__SP19">[1]FES!#REF!</definedName>
    <definedName name="__SP2">[1]FES!#REF!</definedName>
    <definedName name="__SP20">[1]FES!#REF!</definedName>
    <definedName name="__SP3">[1]FES!#REF!</definedName>
    <definedName name="__SP4">[1]FES!#REF!</definedName>
    <definedName name="__SP5">[1]FES!#REF!</definedName>
    <definedName name="__SP7">[1]FES!#REF!</definedName>
    <definedName name="__SP8">[1]FES!#REF!</definedName>
    <definedName name="__SP9">[1]FES!#REF!</definedName>
    <definedName name="_SP1">[1]FES!#REF!</definedName>
    <definedName name="_SP10">[1]FES!#REF!</definedName>
    <definedName name="_SP11">[1]FES!#REF!</definedName>
    <definedName name="_SP12">[1]FES!#REF!</definedName>
    <definedName name="_SP13">[1]FES!#REF!</definedName>
    <definedName name="_SP14">[1]FES!#REF!</definedName>
    <definedName name="_SP15">[1]FES!#REF!</definedName>
    <definedName name="_SP16">[1]FES!#REF!</definedName>
    <definedName name="_SP17">[1]FES!#REF!</definedName>
    <definedName name="_SP18">[1]FES!#REF!</definedName>
    <definedName name="_SP19">[1]FES!#REF!</definedName>
    <definedName name="_SP2">[1]FES!#REF!</definedName>
    <definedName name="_SP20">[1]FES!#REF!</definedName>
    <definedName name="_SP3">[1]FES!#REF!</definedName>
    <definedName name="_SP4">[1]FES!#REF!</definedName>
    <definedName name="_SP5">[1]FES!#REF!</definedName>
    <definedName name="_SP7">[1]FES!#REF!</definedName>
    <definedName name="_SP8">[1]FES!#REF!</definedName>
    <definedName name="_SP9">[1]FES!#REF!</definedName>
    <definedName name="anscount" hidden="1">5</definedName>
    <definedName name="Asset_Category">[2]Master!$I$19:$M$54</definedName>
    <definedName name="BALEE_PROT">'[3]Баланс ээ'!$G$22:$J$22,'[3]Баланс ээ'!$G$20:$J$20,'[3]Баланс ээ'!$G$11:$J$18,'[3]Баланс ээ'!$G$24:$J$28</definedName>
    <definedName name="BALM_PROT">'[3]Баланс мощности'!$G$20:$J$20,'[3]Баланс мощности'!$G$22:$J$22,'[3]Баланс мощности'!$G$24:$J$28,'[3]Баланс мощности'!$G$11:$J$18</definedName>
    <definedName name="clcost" localSheetId="25">#REF!</definedName>
    <definedName name="clcost" localSheetId="26">#REF!</definedName>
    <definedName name="clcost" localSheetId="27">#REF!</definedName>
    <definedName name="clcost">#REF!</definedName>
    <definedName name="CompOt">#N/A</definedName>
    <definedName name="CompRas">#N/A</definedName>
    <definedName name="CUR_VER">[4]Заголовок!$B$21</definedName>
    <definedName name="DATA">#REF!</definedName>
    <definedName name="DATE">#REF!</definedName>
    <definedName name="dip" localSheetId="1">[5]FST5!$G$149:$G$165,P1_dip,P2_dip,P3_dip,P4_dip</definedName>
    <definedName name="dip" localSheetId="22">[5]FST5!$G$149:$G$165,P1_dip,P2_dip,P3_dip,P4_dip</definedName>
    <definedName name="dip" localSheetId="9">[5]FST5!$G$149:$G$165,P1_dip,P2_dip,P3_dip,P4_dip</definedName>
    <definedName name="dip" localSheetId="12">[5]FST5!$G$149:$G$165,P1_dip,P2_dip,P3_dip,P4_dip</definedName>
    <definedName name="dip" localSheetId="28">[5]FST5!$G$149:$G$165,P1_dip,P2_dip,P3_dip,P4_dip</definedName>
    <definedName name="dip" localSheetId="25">[5]FST5!$G$149:$G$165,P1_dip,P2_dip,P3_dip,P4_dip</definedName>
    <definedName name="dip" localSheetId="26">[5]FST5!$G$149:$G$165,P1_dip,P2_dip,P3_dip,P4_dip</definedName>
    <definedName name="dip" localSheetId="27">[5]FST5!$G$149:$G$165,P1_dip,P2_dip,P3_dip,P4_dip</definedName>
    <definedName name="dip" localSheetId="13">[5]FST5!$G$149:$G$165,P1_dip,P2_dip,P3_dip,P4_dip</definedName>
    <definedName name="dip">[5]FST5!$G$149:$G$165,P1_dip,P2_dip,P3_dip,P4_dip</definedName>
    <definedName name="Down_range">#REF!</definedName>
    <definedName name="eso" localSheetId="1">[5]FST5!$G$149:$G$165,P1_eso</definedName>
    <definedName name="eso" localSheetId="22">[5]FST5!$G$149:$G$165,P1_eso</definedName>
    <definedName name="eso" localSheetId="9">[5]FST5!$G$149:$G$165,P1_eso</definedName>
    <definedName name="eso" localSheetId="12">[5]FST5!$G$149:$G$165,P1_eso</definedName>
    <definedName name="eso" localSheetId="28">[5]FST5!$G$149:$G$165,P1_eso</definedName>
    <definedName name="eso" localSheetId="25">[5]FST5!$G$149:$G$165,P1_eso</definedName>
    <definedName name="eso" localSheetId="26">[5]FST5!$G$149:$G$165,P1_eso</definedName>
    <definedName name="eso" localSheetId="27">[5]FST5!$G$149:$G$165,P1_eso</definedName>
    <definedName name="eso" localSheetId="13">[5]FST5!$G$149:$G$165,P1_eso</definedName>
    <definedName name="eso">[5]FST5!$G$149:$G$165,P1_eso</definedName>
    <definedName name="ESO_PROT" localSheetId="1">[6]ЭСО!$G$41:$L$43,[6]ЭСО!$G$47:$L$50,[6]ЭСО!$G$8:$L$9,P1_ESO_PROT</definedName>
    <definedName name="ESO_PROT" localSheetId="22">[6]ЭСО!$G$41:$L$43,[6]ЭСО!$G$47:$L$50,[6]ЭСО!$G$8:$L$9,P1_ESO_PROT</definedName>
    <definedName name="ESO_PROT" localSheetId="9">[6]ЭСО!$G$41:$L$43,[6]ЭСО!$G$47:$L$50,[6]ЭСО!$G$8:$L$9,P1_ESO_PROT</definedName>
    <definedName name="ESO_PROT" localSheetId="12">[6]ЭСО!$G$41:$L$43,[6]ЭСО!$G$47:$L$50,[6]ЭСО!$G$8:$L$9,P1_ESO_PROT</definedName>
    <definedName name="ESO_PROT" localSheetId="28">[6]ЭСО!$G$41:$L$43,[6]ЭСО!$G$47:$L$50,[6]ЭСО!$G$8:$L$9,P1_ESO_PROT</definedName>
    <definedName name="ESO_PROT" localSheetId="25">[6]ЭСО!$G$41:$L$43,[6]ЭСО!$G$47:$L$50,[6]ЭСО!$G$8:$L$9,P1_ESO_PROT</definedName>
    <definedName name="ESO_PROT" localSheetId="26">[6]ЭСО!$G$41:$L$43,[6]ЭСО!$G$47:$L$50,[6]ЭСО!$G$8:$L$9,P1_ESO_PROT</definedName>
    <definedName name="ESO_PROT" localSheetId="27">[6]ЭСО!$G$41:$L$43,[6]ЭСО!$G$47:$L$50,[6]ЭСО!$G$8:$L$9,P1_ESO_PROT</definedName>
    <definedName name="ESO_PROT" localSheetId="13">[6]ЭСО!$G$41:$L$43,[6]ЭСО!$G$47:$L$50,[6]ЭСО!$G$8:$L$9,P1_ESO_PROT</definedName>
    <definedName name="ESO_PROT">[6]ЭСО!$G$41:$L$43,[6]ЭСО!$G$47:$L$50,[6]ЭСО!$G$8:$L$9,P1_ESO_PROT</definedName>
    <definedName name="ew">#N/A</definedName>
    <definedName name="Excel_BuiltIn__FilterDatabase_26">[6]слесаря!$A$4:$D$154</definedName>
    <definedName name="fff">#N/A</definedName>
    <definedName name="fg">#N/A</definedName>
    <definedName name="Fixed_cost" localSheetId="6">#REF!</definedName>
    <definedName name="Fixed_cost" localSheetId="9">#REF!</definedName>
    <definedName name="Fixed_cost" localSheetId="25">#REF!</definedName>
    <definedName name="Fixed_cost" localSheetId="26">#REF!</definedName>
    <definedName name="Fixed_cost" localSheetId="27">#REF!</definedName>
    <definedName name="Fixed_cost">#REF!</definedName>
    <definedName name="ghfdf">#N/A</definedName>
    <definedName name="god">[7]Титульный!$F$10</definedName>
    <definedName name="ica" localSheetId="25">#REF!</definedName>
    <definedName name="ica" localSheetId="26">#REF!</definedName>
    <definedName name="ica" localSheetId="27">#REF!</definedName>
    <definedName name="ica">#REF!</definedName>
    <definedName name="icb" localSheetId="25">#REF!</definedName>
    <definedName name="icb" localSheetId="26">#REF!</definedName>
    <definedName name="icb" localSheetId="27">#REF!</definedName>
    <definedName name="icb">#REF!</definedName>
    <definedName name="irra" localSheetId="25">#REF!</definedName>
    <definedName name="irra" localSheetId="26">#REF!</definedName>
    <definedName name="irra" localSheetId="27">#REF!</definedName>
    <definedName name="irra">#REF!</definedName>
    <definedName name="IRRanl" localSheetId="25">#REF!</definedName>
    <definedName name="IRRanl" localSheetId="26">#REF!</definedName>
    <definedName name="IRRanl" localSheetId="27">#REF!</definedName>
    <definedName name="IRRanl">#REF!</definedName>
    <definedName name="irrb" localSheetId="25">#REF!</definedName>
    <definedName name="irrb" localSheetId="26">#REF!</definedName>
    <definedName name="irrb" localSheetId="27">#REF!</definedName>
    <definedName name="irrb">#REF!</definedName>
    <definedName name="irrc" localSheetId="25">#REF!</definedName>
    <definedName name="irrc" localSheetId="26">#REF!</definedName>
    <definedName name="irrc" localSheetId="27">#REF!</definedName>
    <definedName name="irrc">#REF!</definedName>
    <definedName name="j">#N/A</definedName>
    <definedName name="k">#N/A</definedName>
    <definedName name="kind_of_fuel">[8]TEHSHEET!$K$2:$K$17</definedName>
    <definedName name="kind_of_job">[8]TEHSHEET!$I$2:$I$11</definedName>
    <definedName name="limcount" hidden="1">1</definedName>
    <definedName name="logical">[8]TEHSHEET!$D$2:$D$3</definedName>
    <definedName name="MO">#REF!</definedName>
    <definedName name="MO_LIST_8">[8]REESTR_MO!$B$53:$B$75</definedName>
    <definedName name="MO_LIST1">[9]REESTR!$X$2:$X$37</definedName>
    <definedName name="MR_LIST">[8]REESTR_MO!$D$2:$D$38</definedName>
    <definedName name="n">#N/A</definedName>
    <definedName name="NAZNACH">'[7]Таб 7'!$F$19:$F$23</definedName>
    <definedName name="net" localSheetId="1">[5]FST5!$G$100:$G$116,P1_net</definedName>
    <definedName name="net" localSheetId="22">[5]FST5!$G$100:$G$116,P1_net</definedName>
    <definedName name="net" localSheetId="9">[5]FST5!$G$100:$G$116,P1_net</definedName>
    <definedName name="net" localSheetId="12">[5]FST5!$G$100:$G$116,P1_net</definedName>
    <definedName name="net" localSheetId="28">[5]FST5!$G$100:$G$116,P1_net</definedName>
    <definedName name="net" localSheetId="25">[5]FST5!$G$100:$G$116,P1_net</definedName>
    <definedName name="net" localSheetId="26">[5]FST5!$G$100:$G$116,P1_net</definedName>
    <definedName name="net" localSheetId="27">[5]FST5!$G$100:$G$116,P1_net</definedName>
    <definedName name="net" localSheetId="13">[5]FST5!$G$100:$G$116,P1_net</definedName>
    <definedName name="net">[5]FST5!$G$100:$G$116,P1_net</definedName>
    <definedName name="NOM">#REF!</definedName>
    <definedName name="NSRF">#REF!</definedName>
    <definedName name="OKTMO">#REF!</definedName>
    <definedName name="OKTMO_LIST1">[9]REESTR!$Y$2</definedName>
    <definedName name="org">[7]Титульный!$F$14</definedName>
    <definedName name="P1_dip" hidden="1">[5]FST5!$G$167:$G$172,[5]FST5!$G$174:$G$175,[5]FST5!$G$177:$G$180,[5]FST5!$G$182,[5]FST5!$G$184:$G$188,[5]FST5!$G$190,[5]FST5!$G$192:$G$194</definedName>
    <definedName name="P1_eso" hidden="1">[5]FST5!$G$167:$G$172,[5]FST5!$G$174:$G$175,[5]FST5!$G$177:$G$180,[5]FST5!$G$182,[5]FST5!$G$184:$G$188,[5]FST5!$G$190,[5]FST5!$G$192:$G$194</definedName>
    <definedName name="P1_ESO_PROT" hidden="1">[6]ЭСО!$G$11:$L$12,[6]ЭСО!$G$14:$L$15,[6]ЭСО!$G$17:$L$21,[6]ЭСО!$G$25:$L$25,[6]ЭСО!$G$27:$L$29,[6]ЭСО!$G$31:$L$32,[6]ЭСО!$G$35:$L$36,[6]ЭСО!$G$39:$L$39</definedName>
    <definedName name="P1_net" hidden="1">[5]FST5!$G$118:$G$123,[5]FST5!$G$125:$G$126,[5]FST5!$G$128:$G$131,[5]FST5!$G$133,[5]FST5!$G$135:$G$139,[5]FST5!$G$141,[5]FST5!$G$143:$G$145</definedName>
    <definedName name="P1_Protection">'[10]1'!$J$9:$J$66,'[10]1'!$H$64:$H$65,'[10]1'!$H$61:$H$62,'[10]1'!$H$58:$H$59,'[10]1'!$H$55:$H$56,'[10]1'!$H$50:$H$51,'[10]1'!$H$47:$H$48,'[10]1'!$H$44:$H$45,'[10]1'!$H$41:$H$42</definedName>
    <definedName name="P1_SBT_PROT" hidden="1">[3]сбыт!$G$41:$H$43,[3]сбыт!$G$39:$H$39,[3]сбыт!$G$35:$H$36,[3]сбыт!$G$31:$H$32,[3]сбыт!$G$27:$H$29,[3]сбыт!$G$25:$H$25,[3]сбыт!$G$17:$H$21</definedName>
    <definedName name="P1_SCOPE_FLOAD" hidden="1">'[3]Рег генер'!$F$30:$F$33,'[3]Рег генер'!$F$35:$F$40,'[3]Рег генер'!$F$42:$F$42,'[3]Рег генер'!$F$44:$F$44,'[3]Рег генер'!$F$46:$F$46,'[3]Рег генер'!$F$48:$F$48</definedName>
    <definedName name="P1_SCOPE_FRML" hidden="1">'[3]Рег генер'!$F$18:$F$23,'[3]Рег генер'!$F$25:$F$26,'[3]Рег генер'!$F$28:$F$28,'[3]Рег генер'!$F$30:$F$32,'[3]Рег генер'!$F$35:$F$39,'[3]Рег генер'!$F$42:$F$42</definedName>
    <definedName name="P1_SET_PROT" hidden="1">[3]сети!#REF!,[3]сети!$G$41:$H$43,[3]сети!$G$39:$H$39,[3]сети!$G$35:$H$36,[3]сети!$G$31:$H$32,[3]сети!$G$27:$H$29,[3]сети!$G$25:$H$25</definedName>
    <definedName name="P1_SET_PRT" hidden="1">[3]сети!$G$11:$H$12,[3]сети!$G$14:$H$15,[3]сети!$G$17:$H$21,[3]сети!$G$25:$H$25,[3]сети!$G$27:$H$29,[3]сети!$G$31:$H$32,[3]сети!$G$35:$H$36</definedName>
    <definedName name="P1_T0?Data">'[11]0 (ФСТ)'!#REF!,'[11]0 (ФСТ)'!#REF!,'[11]0 (ФСТ)'!#REF!,'[11]0 (ФСТ)'!#REF!,'[11]0 (ФСТ)'!#REF!,'[11]0 (ФСТ)'!#REF!,'[11]0 (ФСТ)'!#REF!,'[11]0 (ФСТ)'!#REF!</definedName>
    <definedName name="P1_T0?unit?ТРУБ">'[11]0 (ФСТ)'!#REF!,'[11]0 (ФСТ)'!#REF!,'[11]0 (ФСТ)'!#REF!,'[11]0 (ФСТ)'!#REF!,'[11]0 (ФСТ)'!#REF!,'[11]0 (ФСТ)'!#REF!,'[11]0 (ФСТ)'!#REF!,'[11]0 (ФСТ)'!#REF!,'[11]0 (ФСТ)'!#REF!</definedName>
    <definedName name="P1_T0_Protect" hidden="1">'[11]0 (ФСТ)'!#REF!,'[11]0 (ФСТ)'!#REF!,'[11]0 (ФСТ)'!#REF!,'[11]0 (ФСТ)'!#REF!,'[11]0 (ФСТ)'!#REF!,'[11]0 (ФСТ)'!#REF!,'[11]0 (ФСТ)'!#REF!,'[11]0 (ФСТ)'!#REF!,'[11]0 (ФСТ)'!#REF!,'[11]0 (ФСТ)'!#REF!</definedName>
    <definedName name="P1_T0_Protection">'[11]0 (ФСТ)'!#REF!,'[11]0 (ФСТ)'!#REF!,'[11]0 (ФСТ)'!#REF!,'[11]0 (ФСТ)'!#REF!,'[11]0 (ФСТ)'!#REF!,'[11]0 (ФСТ)'!#REF!,'[11]0 (ФСТ)'!#REF!,'[11]0 (ФСТ)'!#REF!,'[11]0 (ФСТ)'!#REF!,'[11]0 (ФСТ)'!#REF!</definedName>
    <definedName name="P1_T1?item_ext?НН">'[10]1'!$F$16:$M$16,'[10]1'!$F$19:$M$19,'[10]1'!$F$22:$M$22,'[10]1'!$F$27:$M$27,'[10]1'!$F$30:$M$30,'[10]1'!$F$33:$M$33,'[10]1'!$F$36:$M$36,'[10]1'!$F$42:$M$42,'[10]1'!$F$45:$M$45</definedName>
    <definedName name="P1_T1?item_ext?СН2">'[10]1'!$F$15:$M$15,'[10]1'!$F$18:$M$18,'[10]1'!$F$21:$M$21,'[10]1'!$F$26:$M$26,'[10]1'!$F$29:$M$29,'[10]1'!$F$32:$M$32,'[10]1'!$F$35:$M$35,'[10]1'!$F$41:$M$41,'[10]1'!$F$44:$M$44</definedName>
    <definedName name="P1_T13?unit?ТРУБ" hidden="1">'[12]13'!$G$12:$K$12,'[12]13'!$G$15:$K$15,'[12]13'!$G$18:$K$19,'[12]13'!$G$22:$K$22,'[12]13'!$G$25:$K$25,'[12]13'!$G$28:$K$29,'[12]13'!$G$32:$K$32,'[12]13'!$G$35:$K$35</definedName>
    <definedName name="P1_T16?item_ext?ЧЕЛ" hidden="1">'[12]16'!$H$47:$L$47,'[12]16'!$H$36:$L$36,'[12]16'!$H$49:$L$49,'[12]16'!$H$45:$L$45,'[12]16'!$H$13:$L$13,'[12]16'!$H$27:$L$27,'[12]16'!$H$54:$L$54,'[12]16'!$H$58:$L$58</definedName>
    <definedName name="P1_T16?unit?ТРУБ" hidden="1">'[12]16'!$H$42:$L$42,'[12]16'!$H$15:$L$15,'[12]16'!$H$17:$L$17,'[12]16'!$H$19:$L$19,'[12]16'!$H$21:$L$21,'[12]16'!$H$51:$L$51,'[12]16'!$H$44:$L$44,'[12]16'!$H$26:$L$26</definedName>
    <definedName name="P1_T16?unit?ЧЕЛ" hidden="1">'[12]16'!$H$47:$L$47,'[12]16'!$H$36:$L$36,'[12]16'!$H$49:$L$49,'[12]16'!$H$45:$L$45,'[12]16'!$H$13:$L$13,'[12]16'!$H$27:$L$27,'[12]16'!$H$54:$L$54,'[12]16'!$H$58:$L$58</definedName>
    <definedName name="P1_T17.1_Protect" hidden="1">'[12]17.1'!$D$13:$M$17,'[12]17.1'!$D$21:$M$22,'[12]17.1'!$D$24:$M$26,'[12]17.1'!$D$28:$M$32,'[12]17.1'!$B$15:$B$17,'[12]17.1'!$B$30:$B$32,'[12]17.1'!$D$5:$M$7,'[12]17.1'!$A$35:$IV$135</definedName>
    <definedName name="P1_T2.1?Data">'[12]2.1'!$E$182:$J$189,'[12]2.1'!$E$191:$J$191,'[12]2.1'!$E$194:$J$196,'[12]2.1'!$E$198:$J$205,'[12]2.1'!$E$208:$J$208,'[12]2.1'!$E$175:$J$175,'[12]2.1'!$E$166:$J$173</definedName>
    <definedName name="P1_T2.1?unit?РУБ.ТНТ">'[12]2.1'!$E$100:$J$100,'[12]2.1'!$E$105:$J$108,'[12]2.1'!$E$130:$J$132,'[12]2.1'!$E$134:$J$134,'[12]2.1'!$E$139:$J$142,'[12]2.1'!$E$194:$J$196,'[12]2.1'!$E$198:$J$198</definedName>
    <definedName name="P1_T2.1_Protect" hidden="1">'[12]2.1'!$B$42:$B$44,'[12]2.1'!$B$50:$B$51,'[12]2.1'!$B$59:$B$61,'[12]2.1'!$B$66:$B$67,'[12]2.1'!$B$75:$B$77,'[12]2.1'!$B$82:$B$83,'[12]2.1'!$B$91:$B$92,'[12]2.1'!$B$97:$B$98</definedName>
    <definedName name="P1_T2.2?Data">'[12]2.2'!$E$110:$J$113,'[12]2.2'!$E$99:$J$107,'[12]2.2'!$E$95:$J$97,'[12]2.2'!$E$84:$J$91,'[12]2.2'!$E$80:$J$82,'[12]2.2'!$E$68:$J$76,'[12]2.2'!$E$64:$J$66,'[12]2.2'!$E$8:$J$34</definedName>
    <definedName name="P1_T2.2?unit?РУБ.ТНТ">'[12]2.2'!$E$104:$J$107,'[12]2.2'!$E$127:$J$129,'[12]2.2'!$E$131:$J$131,'[12]2.2'!$E$136:$J$139,'[12]2.2'!$E$191:$J$193,'[12]2.2'!$E$195:$J$195,'[12]2.2'!$E$95:$J$97</definedName>
    <definedName name="P1_T2.2_Protect" hidden="1">'[12]2.2'!$G$8:$J$8,'[12]2.2'!$G$10:$J$10,'[12]2.2'!$G$12:$J$12,'[12]2.2'!$G$16:$J$16,'[12]2.2'!$G$19:$J$20,'[12]2.2'!$G$24:$J$24,'[12]2.2'!$G$27:$J$27,'[12]2.2'!$G$49:$J$50</definedName>
    <definedName name="P1_T2?axis?R?ВТОП">'[12]2'!$E$46:$K$59,'[12]2'!$E$62:$K$75,'[12]2'!$E$78:$K$91,'[12]2'!$E$94:$K$107,'[12]2'!$E$110:$K$123,'[12]2'!$E$127:$K$140,'[12]2'!$E$143:$K$156,'[12]2'!$E$160:$K$173</definedName>
    <definedName name="P1_T2?axis?R?ВТОП?">'[12]2'!$C$177:$C$190,'[12]2'!$C$160:$C$173,'[12]2'!$C$143:$C$156,'[12]2'!$C$127:$C$140,'[12]2'!$C$110:$C$123,'[12]2'!$C$94:$C$107,'[12]2'!$C$78:$C$91,'[12]2'!$C$62:$C$75</definedName>
    <definedName name="P1_T2?axis?R?ДЕТ">'[12]2'!$E$194:$K$206,'[12]2'!$E$30:$K$42,'[12]2'!$E$46:$K$59,'[12]2'!$E$62:$K$75,'[12]2'!$E$78:$K$91,'[12]2'!$E$94:$K$107,'[12]2'!$E$110:$K$123,'[12]2'!$E$127:$K$140</definedName>
    <definedName name="P1_T2?axis?R?ДЕТ?">'[12]2'!$B$46:$B$59,'[12]2'!$B$62:$B$75,'[12]2'!$B$78:$B$91,'[12]2'!$B$94:$B$107,'[12]2'!$B$110:$B$123,'[12]2'!$B$127:$B$140,'[12]2'!$B$143:$B$156,'[12]2'!$B$160:$B$173</definedName>
    <definedName name="P1_T2?Data">'[12]2'!$H$6:$K$32,'[12]2'!$E$34:$G$41,'[12]2'!$H$34:$K$41,'[12]2'!$E$43:$G$43,'[12]2'!$H$43:$K$43,'[12]2'!$E$45:$G$48,'[12]2'!$H$45:$K$48,'[12]2'!$E$50:$G$58,'[12]2'!$H$50:$K$58</definedName>
    <definedName name="P1_T2?unit?РУБ.ТНТ">'[12]2'!$E$98:$G$98,'[12]2'!$E$103:$G$106,'[12]2'!$E$127:$G$129,'[12]2'!$E$131:$G$131,'[12]2'!$E$136:$G$139,'[12]2'!$E$194:$G$196,'[12]2'!$E$198:$G$198,'[12]2'!$E$203:$G$205</definedName>
    <definedName name="P1_T2?unit?ТРУБ">'[12]2'!$E$114:$G$122,'[12]2'!$E$124:$G$124,'[12]2'!$E$142:$G$145,'[12]2'!$E$147:$G$155,'[12]2'!$E$157:$G$157,'[12]2'!$E$159:$G$162,'[12]2'!$E$164:$G$172,'[12]2'!$E$174:$G$174</definedName>
    <definedName name="P1_T2_1_Protect" hidden="1">'[12]2.1'!$G$8:$J$8,'[12]2.1'!$G$10:$J$10,'[12]2.1'!$G$12:$J$12,'[12]2.1'!$G$19:$J$20,'[12]2.1'!$G$24:$J$24,'[12]2.1'!$G$27:$J$27,'[12]2.1'!$G$50:$J$51,'[12]2.1'!$G$53:$J$53</definedName>
    <definedName name="P1_T2_2_Protect" hidden="1">'[12]2.2'!$G$8:$J$8,'[12]2.2'!$G$10:$J$10,'[12]2.2'!$G$12:$J$12,'[12]2.2'!$G$19:$J$20,'[12]2.2'!$G$24:$J$24,'[12]2.2'!$G$27:$J$27,'[12]2.2'!$G$49:$J$50,'[12]2.2'!$G$52:$J$52</definedName>
    <definedName name="P1_T2_Protect" hidden="1">'[12]2'!$B$195:$B$196,'[12]2'!$B$204:$B$205,'[12]2'!$F$8:$G$8,'[12]2'!$F$10:$G$10,'[12]2'!$F$17:$G$18,'[12]2'!$F$22:$G$22,'[12]2'!$F$25:$G$25,'[12]2'!$F$47:$G$48,'[12]2'!$F$50:$G$50</definedName>
    <definedName name="P1_T22?Data">'[12]22'!$G$6:$O$6,'[12]22'!$G$32:$O$34,'[12]22'!$G$8:$O$10,'[12]22'!$G$37:$O$37,'[12]22'!$C$6,'[12]22'!$C$8:$C$10,'[12]22'!$C$30,'[12]22'!$C$32:$C$34</definedName>
    <definedName name="P1_T4_Protect" hidden="1">'[12]4'!$B$40:$B$41,'[12]4'!$B$49:$B$50,'[12]4'!$E$3:$N$3,'[12]4'!$E$12:$N$12,'[12]4'!$E$14:$N$16,'[12]4'!$E$18:$N$19,'[12]4'!$E$21:$N$21,'[12]4'!$E$39:$N$41,'[12]4'!$E$43:$N$50</definedName>
    <definedName name="P1_T5_Protect" hidden="1">'[12]5'!$J$41:$M$49,'[12]5'!$E$52:$H$54,'[12]5'!$E$56:$H$64,'[12]5'!$E$67:$M$79,'[12]5'!$E$7:$H$9,'[12]5'!$E$11:$H$19,'[12]5'!$J$7:$J$9,'[12]5'!$J$11:$J$19,'[12]5'!$E$22:$H$24</definedName>
    <definedName name="P1_T6_Protect" hidden="1">'[12]6'!$D$33:$H$34,'[12]6'!$D$36:$H$37,'[12]6'!$D$39:$H$40,'[12]6'!$D$47:$H$47,'[12]6'!$A$58:$IV$157,'[12]6'!$M$1:$AQ$65536,'[12]6'!$D$43:$H$45,'[12]6'!$D$16:$H$18,'[12]6'!$D$51:$H$52</definedName>
    <definedName name="P1_ДиапазонЗащиты" hidden="1">'[10]1'!$H$15:$H$16,'[10]1'!$H$12:$H$13,'[10]1'!$J$11:$J$16,'[10]1'!$K$15:$K$16,'[10]1'!$K$12:$K$13,'[10]1'!$J$18:$K$19,'[10]1'!$J$21:$K$22,'[10]1'!$F$18:$H$19,'[10]1'!$F$21:$H$22</definedName>
    <definedName name="P2_dip" hidden="1">[5]FST5!$G$100:$G$116,[5]FST5!$G$118:$G$123,[5]FST5!$G$125:$G$126,[5]FST5!$G$128:$G$131,[5]FST5!$G$133,[5]FST5!$G$135:$G$139,[5]FST5!$G$141</definedName>
    <definedName name="P2_Protection">'[10]1'!$H$35:$H$36,'[10]1'!$H$32:$H$33,'[10]1'!$H$29:$H$30,'[10]1'!$H$26:$H$27,'[10]1'!$H$21:$H$22,'[10]1'!$H$18:$H$19,'[10]1'!$H$15:$H$16,'[10]1'!$H$12:$H$13,'[10]1'!$K$12:$K$13</definedName>
    <definedName name="P2_T0_Protect" hidden="1">'[11]0 (ФСТ)'!#REF!,'[11]0 (ФСТ)'!#REF!,'[11]0 (ФСТ)'!#REF!,'[11]0 (ФСТ)'!#REF!,'[11]0 (ФСТ)'!#REF!,'[11]0 (ФСТ)'!#REF!,'[11]0 (ФСТ)'!#REF!,'[11]0 (ФСТ)'!#REF!,'[11]0 (ФСТ)'!#REF!,'[11]0 (ФСТ)'!#REF!,'[11]0 (ФСТ)'!#REF!</definedName>
    <definedName name="P2_T16?item_ext?ЧЕЛ" hidden="1">'[12]16'!$H$29:$L$29,'[12]16'!$H$38:$L$38,'[12]16'!$H$9:$L$9,'[12]16'!$H$40:$L$40,'[12]16'!$H$22:$L$22,'[12]16'!$H$18:$L$18,'[12]16'!$H$20:$L$20,'[12]16'!$H$31:$L$31</definedName>
    <definedName name="P2_T16?unit?ТРУБ" hidden="1">'[12]16'!$H$53:$L$53,'[12]16'!$H$30:$L$30,'[12]16'!$H$55:$L$55,'[12]16'!$H$39:$L$39,'[12]16'!$H$57:$L$57,'[12]16'!$H$62:$L$62,'[12]16'!$H$6:$L$6,'[12]16'!$H$8:$L$8,'[12]16'!$H$37:$L$37</definedName>
    <definedName name="P2_T16?unit?ЧЕЛ" hidden="1">'[12]16'!$H$29:$L$29,'[12]16'!$H$38:$L$38,'[12]16'!$H$9:$L$9,'[12]16'!$H$40:$L$40,'[12]16'!$H$22:$L$22,'[12]16'!$H$18:$L$18,'[12]16'!$H$20:$L$20,'[12]16'!$H$31:$L$31</definedName>
    <definedName name="P2_T2.1?Data">'[12]2.1'!$E$161:$J$164,'[12]2.1'!$E$159:$J$159,'[12]2.1'!$E$150:$J$157,'[12]2.1'!$E$145:$J$148,'[12]2.1'!$E$134:$J$142,'[12]2.1'!$E$130:$J$132,'[12]2.1'!$E$127:$J$127</definedName>
    <definedName name="P2_T2.1_Protect" hidden="1">'[12]2.1'!$B$106:$B$108,'[12]2.1'!$B$113:$B$114,'[12]2.1'!$B$122:$B$125,'[12]2.1'!$B$131:$B$132,'[12]2.1'!$B$140:$B$142,'[12]2.1'!$B$147:$B$148,'[12]2.1'!$B$156:$B$157</definedName>
    <definedName name="P2_T2.2?Data">'[12]2.2'!$E$36:$J$43,'[12]2.2'!$E$45:$J$45,'[12]2.2'!$E$47:$J$50,'[12]2.2'!$E$52:$J$60,'[12]2.2'!$E$124:$J$124,'[12]2.2'!$E$127:$J$129,'[12]2.2'!$E$131:$J$139</definedName>
    <definedName name="P2_T2.2_Protect" hidden="1">'[12]2.2'!$G$52:$J$52,'[12]2.2'!$G$54:$J$56,'[12]2.2'!$G$58:$J$60,'[12]2.2'!$G$65:$J$66,'[12]2.2'!$G$68:$J$68,'[12]2.2'!$G$70:$J$72,'[12]2.2'!$G$74:$J$76,'[12]2.2'!$G$96:$J$97</definedName>
    <definedName name="P2_T2?Data">'[12]2'!$E$62:$G$64,'[12]2'!$H$62:$K$64,'[12]2'!$E$66:$G$74,'[12]2'!$H$66:$K$74,'[12]2'!$E$78:$G$80,'[12]2'!$H$78:$K$80,'[12]2'!$E$82:$G$90,'[12]2'!$H$82:$K$90,'[12]2'!$E$94:$G$96</definedName>
    <definedName name="P2_T2_1_Protect" hidden="1">'[12]2.1'!$G$55:$J$57,'[12]2.1'!$G$59:$J$61,'[12]2.1'!$G$66:$J$67,'[12]2.1'!$G$69:$J$69,'[12]2.1'!$G$71:$J$73,'[12]2.1'!$G$75:$J$77,'[12]2.1'!$G$97:$J$98,'[12]2.1'!$G$100:$J$100</definedName>
    <definedName name="P2_T2_2_Protect" hidden="1">'[12]2.2'!$G$54:$J$56,'[12]2.2'!$G$58:$J$60,'[12]2.2'!$G$65:$J$66,'[12]2.2'!$G$68:$J$68,'[12]2.2'!$G$70:$J$72,'[12]2.2'!$G$74:$J$76,'[12]2.2'!$G$96:$J$97,'[12]2.2'!$G$99:$J$99</definedName>
    <definedName name="P2_T2_Protect" hidden="1">'[12]2'!$F$52:$G$54,'[12]2'!$F$56:$G$58,'[12]2'!$F$63:$G$64,'[12]2'!$F$66:$G$66,'[12]2'!$F$68:$G$70,'[12]2'!$F$72:$G$74,'[12]2'!$F$95:$G$96,'[12]2'!$F$98:$G$98,'[12]2'!$F$100:$G$102</definedName>
    <definedName name="P2_T6_Protect" hidden="1">'[12]6'!$D$54:$H$55,'[12]6'!$D$57:$H$57,'[12]6'!$D$7:$H$11,'[12]6'!$D$13:$H$14,'[12]6'!$D$21:$H$21,'[12]6'!$D$24:$H$24,'[12]6'!$D$27:$H$27,'[12]6'!$B$32,'[12]6'!$B$35,'[12]6'!$D$30:$H$30</definedName>
    <definedName name="P2_ДиапазонЗащиты" hidden="1">'[10]1'!$F$25:$G$30,'[10]1'!$H$26:$H$27,'[10]1'!$H$29:$H$30,'[10]1'!$J$25:$J$30,'[10]1'!$K$26:$K$27,'[10]1'!$K$29:$K$30,'[10]1'!$F$32:$H$33,'[10]1'!$J$32:$K$33,'[10]1'!$F$35:$H$36</definedName>
    <definedName name="P3_dip" hidden="1">[5]FST5!$G$143:$G$145,[5]FST5!$G$214:$G$217,[5]FST5!$G$219:$G$224,[5]FST5!$G$226,[5]FST5!$G$228,[5]FST5!$G$230,[5]FST5!$G$232,[5]FST5!$G$197:$G$212</definedName>
    <definedName name="P3_Protection">'[10]1'!$K$15:$K$16,'[10]1'!$K$64:$K$65,'[10]1'!$K$61:$K$62,'[10]1'!$K$58:$K$59,'[10]1'!$K$55:$K$56,'[10]1'!$K$50:$K$51,'[10]1'!$K$47:$K$48,'[10]1'!$K$44:$K$45,'[10]1'!$K$41:$K$42</definedName>
    <definedName name="P3_T0_Protect" localSheetId="1" hidden="1">'[11]0 (ФСТ)'!#REF!,'[11]0 (ФСТ)'!#REF!,'[11]0 (ФСТ)'!#REF!,'[11]0 (ФСТ)'!#REF!,'[11]0 (ФСТ)'!#REF!,'[11]0 (ФСТ)'!#REF!,'[11]0 (ФСТ)'!$A$136:$IV$239,'[11]0 (ФСТ)'!$D$1:$AC$65536,'[11]0 (ФСТ)'!#REF!,P1_T0_Protect</definedName>
    <definedName name="P3_T0_Protect" localSheetId="22" hidden="1">'[11]0 (ФСТ)'!#REF!,'[11]0 (ФСТ)'!#REF!,'[11]0 (ФСТ)'!#REF!,'[11]0 (ФСТ)'!#REF!,'[11]0 (ФСТ)'!#REF!,'[11]0 (ФСТ)'!#REF!,'[11]0 (ФСТ)'!$A$136:$IV$239,'[11]0 (ФСТ)'!$D$1:$AC$65536,'[11]0 (ФСТ)'!#REF!,P1_T0_Protect</definedName>
    <definedName name="P3_T0_Protect" localSheetId="9" hidden="1">'[11]0 (ФСТ)'!#REF!,'[11]0 (ФСТ)'!#REF!,'[11]0 (ФСТ)'!#REF!,'[11]0 (ФСТ)'!#REF!,'[11]0 (ФСТ)'!#REF!,'[11]0 (ФСТ)'!#REF!,'[11]0 (ФСТ)'!$A$136:$IV$239,'[11]0 (ФСТ)'!$D$1:$AC$65536,'[11]0 (ФСТ)'!#REF!,P1_T0_Protect</definedName>
    <definedName name="P3_T0_Protect" localSheetId="12" hidden="1">'[11]0 (ФСТ)'!#REF!,'[11]0 (ФСТ)'!#REF!,'[11]0 (ФСТ)'!#REF!,'[11]0 (ФСТ)'!#REF!,'[11]0 (ФСТ)'!#REF!,'[11]0 (ФСТ)'!#REF!,'[11]0 (ФСТ)'!$A$136:$IV$239,'[11]0 (ФСТ)'!$D$1:$AC$65536,'[11]0 (ФСТ)'!#REF!,P1_T0_Protect</definedName>
    <definedName name="P3_T0_Protect" localSheetId="28" hidden="1">'[11]0 (ФСТ)'!#REF!,'[11]0 (ФСТ)'!#REF!,'[11]0 (ФСТ)'!#REF!,'[11]0 (ФСТ)'!#REF!,'[11]0 (ФСТ)'!#REF!,'[11]0 (ФСТ)'!#REF!,'[11]0 (ФСТ)'!$A$136:$IV$239,'[11]0 (ФСТ)'!$D$1:$AC$65536,'[11]0 (ФСТ)'!#REF!,P1_T0_Protect</definedName>
    <definedName name="P3_T0_Protect" localSheetId="25" hidden="1">'[11]0 (ФСТ)'!#REF!,'[11]0 (ФСТ)'!#REF!,'[11]0 (ФСТ)'!#REF!,'[11]0 (ФСТ)'!#REF!,'[11]0 (ФСТ)'!#REF!,'[11]0 (ФСТ)'!#REF!,'[11]0 (ФСТ)'!$A$136:$IV$239,'[11]0 (ФСТ)'!$D$1:$AC$65536,'[11]0 (ФСТ)'!#REF!,P1_T0_Protect</definedName>
    <definedName name="P3_T0_Protect" localSheetId="26" hidden="1">'[11]0 (ФСТ)'!#REF!,'[11]0 (ФСТ)'!#REF!,'[11]0 (ФСТ)'!#REF!,'[11]0 (ФСТ)'!#REF!,'[11]0 (ФСТ)'!#REF!,'[11]0 (ФСТ)'!#REF!,'[11]0 (ФСТ)'!$A$136:$IV$239,'[11]0 (ФСТ)'!$D$1:$AC$65536,'[11]0 (ФСТ)'!#REF!,P1_T0_Protect</definedName>
    <definedName name="P3_T0_Protect" localSheetId="27" hidden="1">'[11]0 (ФСТ)'!#REF!,'[11]0 (ФСТ)'!#REF!,'[11]0 (ФСТ)'!#REF!,'[11]0 (ФСТ)'!#REF!,'[11]0 (ФСТ)'!#REF!,'[11]0 (ФСТ)'!#REF!,'[11]0 (ФСТ)'!$A$136:$IV$239,'[11]0 (ФСТ)'!$D$1:$AC$65536,'[11]0 (ФСТ)'!#REF!,P1_T0_Protect</definedName>
    <definedName name="P3_T0_Protect" localSheetId="13" hidden="1">'[11]0 (ФСТ)'!#REF!,'[11]0 (ФСТ)'!#REF!,'[11]0 (ФСТ)'!#REF!,'[11]0 (ФСТ)'!#REF!,'[11]0 (ФСТ)'!#REF!,'[11]0 (ФСТ)'!#REF!,'[11]0 (ФСТ)'!$A$136:$IV$239,'[11]0 (ФСТ)'!$D$1:$AC$65536,'[11]0 (ФСТ)'!#REF!,P1_T0_Protect</definedName>
    <definedName name="P3_T0_Protect" hidden="1">'[11]0 (ФСТ)'!#REF!,'[11]0 (ФСТ)'!#REF!,'[11]0 (ФСТ)'!#REF!,'[11]0 (ФСТ)'!#REF!,'[11]0 (ФСТ)'!#REF!,'[11]0 (ФСТ)'!#REF!,'[11]0 (ФСТ)'!$A$136:$IV$239,'[11]0 (ФСТ)'!$D$1:$AC$65536,'[11]0 (ФСТ)'!#REF!,P1_T0_Protect</definedName>
    <definedName name="P3_T16?unit?ТРУБ" hidden="1">'[12]16'!$H$48:$L$48,'[12]16'!$H$10:$L$10,'[12]16'!$H$12:$L$12,'[12]16'!$H$35:$L$35,'[12]16'!$H$28:$L$28,'[12]16'!$H$33:$L$33,'[12]16'!$H$24:$L$24,'[12]16'!$H$46:$L$46</definedName>
    <definedName name="P3_T2.1?Data">'[12]2.1'!$E$116:$J$125,'[12]2.1'!$E$111:$J$114,'[12]2.1'!$E$100:$J$108,'[12]2.1'!$E$96:$J$98,'[12]2.1'!$E$85:$J$92,'[12]2.1'!$E$81:$J$83,'[12]2.1'!$E$69:$J$77,'[12]2.1'!$E$65:$J$67</definedName>
    <definedName name="P3_T2.1_Protect" hidden="1">'[12]2.1'!$B$163:$B$164,'[12]2.1'!$B$172:$B$173,'[12]2.1'!$B$179:$B$180,'[12]2.1'!$B$188:$B$189,'[12]2.1'!$B$195:$B$196,'[12]2.1'!$B$204:$B$205,'[12]2.1'!$G$4:$J$4</definedName>
    <definedName name="P3_T2.2?Data">'[12]2.2'!$E$142:$J$145,'[12]2.2'!$E$147:$J$154,'[12]2.2'!$E$156:$J$156,'[12]2.2'!$E$158:$J$161,'[12]2.2'!$E$163:$J$170,'[12]2.2'!$E$172:$J$172,'[12]2.2'!$E$174:$J$177</definedName>
    <definedName name="P3_T2.2_Protect" hidden="1">'[12]2.2'!$G$99:$J$99,'[12]2.2'!$G$101:$J$103,'[12]2.2'!$G$105:$J$107,'[12]2.2'!$G$128:$J$129,'[12]2.2'!$G$131:$J$131,'[12]2.2'!$G$133:$J$135,'[12]2.2'!$G$137:$J$139</definedName>
    <definedName name="P3_T2?Data">'[12]2'!$H$94:$K$96,'[12]2'!$E$98:$G$106,'[12]2'!$H$98:$K$106,'[12]2'!$E$109:$G$112,'[12]2'!$H$109:$K$112,'[12]2'!$E$114:$G$122,'[12]2'!$H$114:$K$122,'[12]2'!$E$124:$G$124</definedName>
    <definedName name="P3_T2_1_Protect" hidden="1">'[12]2.1'!$G$102:$J$104,'[12]2.1'!$G$106:$J$108,'[12]2.1'!$G$131:$J$132,'[12]2.1'!$G$134:$J$134,'[12]2.1'!$G$136:$J$138,'[12]2.1'!$G$140:$J$142,'[12]2.1'!$B$33:$B$34</definedName>
    <definedName name="P3_T2_2_Protect" hidden="1">'[12]2.2'!$G$101:$J$103,'[12]2.2'!$G$105:$J$107,'[12]2.2'!$G$128:$J$129,'[12]2.2'!$G$131:$J$131,'[12]2.2'!$G$133:$J$135,'[12]2.2'!$G$137:$J$139,'[12]2.2'!$B$33:$B$34</definedName>
    <definedName name="P3_T2_Protect" hidden="1">'[12]2'!$F$104:$G$106,'[12]2'!$F$128:$G$129,'[12]2'!$F$131:$G$131,'[12]2'!$F$133:$G$135,'[12]2'!$F$137:$G$139,'[12]2'!$B$31:$B$32,'[12]2'!$B$40:$B$41,'[12]2'!$B$47:$B$48</definedName>
    <definedName name="P3_ДиапазонЗащиты" hidden="1">'[10]1'!$J$35:$K$36,'[10]1'!$F$40:$G$45,'[10]1'!$H$41:$H$42,'[10]1'!$H$44:$H$45,'[10]1'!$J$40:$J$45,'[10]1'!$K$41:$K$42,'[10]1'!$K$44:$K$45,'[10]1'!$J$47:$K$48,'[10]1'!$J$50:$K$51</definedName>
    <definedName name="P4_dip" hidden="1">[5]FST5!$G$70:$G$75,[5]FST5!$G$77:$G$78,[5]FST5!$G$80:$G$83,[5]FST5!$G$85,[5]FST5!$G$87:$G$91,[5]FST5!$G$93,[5]FST5!$G$95:$G$97,[5]FST5!$G$52:$G$68</definedName>
    <definedName name="P4_Protection" localSheetId="1">'[10]1'!$K$35:$K$36,'[10]1'!$K$32:$K$33,'[10]1'!$K$29:$K$30,'[10]1'!$K$26:$K$27,'[10]1'!$K$18:$K$19,'[10]1'!$K$21:$K$22,'[10]1'!$F$9:$G$66,P1_Protection,P2_Protection</definedName>
    <definedName name="P4_Protection" localSheetId="22">'[10]1'!$K$35:$K$36,'[10]1'!$K$32:$K$33,'[10]1'!$K$29:$K$30,'[10]1'!$K$26:$K$27,'[10]1'!$K$18:$K$19,'[10]1'!$K$21:$K$22,'[10]1'!$F$9:$G$66,P1_Protection,P2_Protection</definedName>
    <definedName name="P4_Protection" localSheetId="9">'[10]1'!$K$35:$K$36,'[10]1'!$K$32:$K$33,'[10]1'!$K$29:$K$30,'[10]1'!$K$26:$K$27,'[10]1'!$K$18:$K$19,'[10]1'!$K$21:$K$22,'[10]1'!$F$9:$G$66,P1_Protection,P2_Protection</definedName>
    <definedName name="P4_Protection" localSheetId="12">'[10]1'!$K$35:$K$36,'[10]1'!$K$32:$K$33,'[10]1'!$K$29:$K$30,'[10]1'!$K$26:$K$27,'[10]1'!$K$18:$K$19,'[10]1'!$K$21:$K$22,'[10]1'!$F$9:$G$66,P1_Protection,P2_Protection</definedName>
    <definedName name="P4_Protection" localSheetId="28">'[10]1'!$K$35:$K$36,'[10]1'!$K$32:$K$33,'[10]1'!$K$29:$K$30,'[10]1'!$K$26:$K$27,'[10]1'!$K$18:$K$19,'[10]1'!$K$21:$K$22,'[10]1'!$F$9:$G$66,P1_Protection,P2_Protection</definedName>
    <definedName name="P4_Protection" localSheetId="25">'[10]1'!$K$35:$K$36,'[10]1'!$K$32:$K$33,'[10]1'!$K$29:$K$30,'[10]1'!$K$26:$K$27,'[10]1'!$K$18:$K$19,'[10]1'!$K$21:$K$22,'[10]1'!$F$9:$G$66,P1_Protection,P2_Protection</definedName>
    <definedName name="P4_Protection" localSheetId="26">'[10]1'!$K$35:$K$36,'[10]1'!$K$32:$K$33,'[10]1'!$K$29:$K$30,'[10]1'!$K$26:$K$27,'[10]1'!$K$18:$K$19,'[10]1'!$K$21:$K$22,'[10]1'!$F$9:$G$66,P1_Protection,P2_Protection</definedName>
    <definedName name="P4_Protection" localSheetId="27">'[10]1'!$K$35:$K$36,'[10]1'!$K$32:$K$33,'[10]1'!$K$29:$K$30,'[10]1'!$K$26:$K$27,'[10]1'!$K$18:$K$19,'[10]1'!$K$21:$K$22,'[10]1'!$F$9:$G$66,P1_Protection,P2_Protection</definedName>
    <definedName name="P4_Protection" localSheetId="13">'[10]1'!$K$35:$K$36,'[10]1'!$K$32:$K$33,'[10]1'!$K$29:$K$30,'[10]1'!$K$26:$K$27,'[10]1'!$K$18:$K$19,'[10]1'!$K$21:$K$22,'[10]1'!$F$9:$G$66,P1_Protection,P2_Protection</definedName>
    <definedName name="P4_Protection">'[10]1'!$K$35:$K$36,'[10]1'!$K$32:$K$33,'[10]1'!$K$29:$K$30,'[10]1'!$K$26:$K$27,'[10]1'!$K$18:$K$19,'[10]1'!$K$21:$K$22,'[10]1'!$F$9:$G$66,P1_Protection,P2_Protection</definedName>
    <definedName name="P4_T2.1_Protect" hidden="1">'[12]2.1'!$G$8:$J$10,'[12]2.1'!$G$12:$J$12,'[12]2.1'!$G$15:$J$16,'[12]2.1'!$G$19:$J$20,'[12]2.1'!$E$30:$F$30,'[12]2.1'!$G$24:$J$24,'[12]2.1'!$G$27:$J$27,'[12]2.1'!$G$50:$J$51</definedName>
    <definedName name="P4_T2.2_Protect" hidden="1">'[12]2.2'!$B$33:$B$34,'[12]2.2'!$B$42:$B$43,'[12]2.2'!$B$49:$B$50,'[12]2.2'!$B$58:$B$60,'[12]2.2'!$B$65:$B$66,'[12]2.2'!$B$74:$B$76,'[12]2.2'!$B$81:$B$82,'[12]2.2'!$B$90:$B$91</definedName>
    <definedName name="P4_T2?Data">'[12]2'!$H$124:$K$124,'[12]2'!$E$127:$G$129,'[12]2'!$H$127:$K$129,'[12]2'!$E$131:$G$139,'[12]2'!$H$131:$K$139,'[12]2'!$E$142:$G$145,'[12]2'!$H$142:$K$145,'[12]2'!$E$147:$G$155</definedName>
    <definedName name="P4_T2_1_Protect" hidden="1">'[12]2.1'!$B$42:$B$44,'[12]2.1'!$B$50:$B$51,'[12]2.1'!$B$59:$B$61,'[12]2.1'!$B$66:$B$67,'[12]2.1'!$B$75:$B$77,'[12]2.1'!$B$82:$B$83,'[12]2.1'!$B$91:$B$92,'[12]2.1'!$B$97:$B$98</definedName>
    <definedName name="P4_T2_2_Protect" hidden="1">'[12]2.2'!$B$42:$B$43,'[12]2.2'!$B$49:$B$50,'[12]2.2'!$B$58:$B$60,'[12]2.2'!$B$65:$B$66,'[12]2.2'!$B$74:$B$76,'[12]2.2'!$B$81:$B$82,'[12]2.2'!$B$90:$B$91,'[12]2.2'!$B$96:$B$97</definedName>
    <definedName name="P4_T2_Protect" hidden="1">'[12]2'!$B$56:$B$58,'[12]2'!$B$63:$B$64,'[12]2'!$B$72:$B$74,'[12]2'!$B$79:$B$80,'[12]2'!$B$88:$B$90,'[12]2'!$B$95:$B$96,'[12]2'!$B$104:$B$106,'[12]2'!$B$111:$B$112,'[12]2'!$B$120:$B$122</definedName>
    <definedName name="P4_ДиапазонЗащиты" hidden="1">'[10]1'!$F$47:$H$48,'[10]1'!$F$50:$H$51,'[10]1'!$F$54:$G$59,'[10]1'!$H$58:$H$59,'[10]1'!$H$55:$H$56,'[10]1'!$J$54:$J$59,'[10]1'!$K$58:$K$59,'[10]1'!$K$55:$K$56,'[10]1'!$F$61:$H$62</definedName>
    <definedName name="P5_T2.1_Protect" hidden="1">'[12]2.1'!$G$53:$J$53,'[12]2.1'!$G$55:$J$57,'[12]2.1'!$G$59:$J$61,'[12]2.1'!$G$66:$J$67,'[12]2.1'!$G$69:$J$69,'[12]2.1'!$G$71:$J$73,'[12]2.1'!$G$75:$J$77,'[12]2.1'!$G$97:$J$98</definedName>
    <definedName name="P5_T2.2_Protect" hidden="1">'[12]2.2'!$B$96:$B$97,'[12]2.2'!$B$105:$B$107,'[12]2.2'!$B$112:$B$113,'[12]2.2'!$B$121:$B$122,'[12]2.2'!$B$128:$B$129,'[12]2.2'!$B$137:$B$139,'[12]2.2'!$B$144:$B$145</definedName>
    <definedName name="P5_T2?Data">'[12]2'!$H$147:$K$155,'[12]2'!$E$157:$G$157,'[12]2'!$H$157:$K$157,'[12]2'!$E$159:$G$162,'[12]2'!$H$159:$K$162,'[12]2'!$E$164:$G$172,'[12]2'!$H$164:$K$172,'[12]2'!$E$174:$G$174</definedName>
    <definedName name="P5_T2_1_Protect" hidden="1">'[12]2.1'!$B$106:$B$108,'[12]2.1'!$B$113:$B$114,'[12]2.1'!$B$122:$B$125,'[12]2.1'!$B$131:$B$132,'[12]2.1'!$B$140:$B$142,'[12]2.1'!$B$147:$B$148,'[12]2.1'!$B$156:$B$157</definedName>
    <definedName name="P5_T2_2_Protect" hidden="1">'[12]2.2'!$B$105:$B$107,'[12]2.2'!$B$112:$B$113,'[12]2.2'!$B$121:$B$122,'[12]2.2'!$B$128:$B$129,'[12]2.2'!$B$137:$B$139,'[12]2.2'!$B$144:$B$145,'[12]2.2'!$B$153:$B$154</definedName>
    <definedName name="P5_T2_Protect" hidden="1">'[12]2'!$B$128:$B$129,'[12]2'!$B$137:$B$139,'[12]2'!$B$144:$B$145,'[12]2'!$B$153:$B$155,'[12]2'!$B$161:$B$162,'[12]2'!$B$170:$B$172,'[12]2'!$B$178:$B$179,'[12]2'!$B$187:$B$189</definedName>
    <definedName name="P6_T2.1?Protection" localSheetId="1">P1_T2.1?Protection</definedName>
    <definedName name="P6_T2.1?Protection" localSheetId="22">P1_T2.1?Protection</definedName>
    <definedName name="P6_T2.1?Protection" localSheetId="9">P1_T2.1?Protection</definedName>
    <definedName name="P6_T2.1?Protection" localSheetId="12">P1_T2.1?Protection</definedName>
    <definedName name="P6_T2.1?Protection" localSheetId="28">P1_T2.1?Protection</definedName>
    <definedName name="P6_T2.1?Protection" localSheetId="25">P1_T2.1?Protection</definedName>
    <definedName name="P6_T2.1?Protection" localSheetId="26">P1_T2.1?Protection</definedName>
    <definedName name="P6_T2.1?Protection" localSheetId="27">P1_T2.1?Protection</definedName>
    <definedName name="P6_T2.1?Protection" localSheetId="13">P1_T2.1?Protection</definedName>
    <definedName name="P6_T2.1?Protection">P1_T2.1?Protection</definedName>
    <definedName name="P6_T2.1_Protect" hidden="1">'[12]2.1'!$G$100:$J$100,'[12]2.1'!$G$102:$J$104,'[12]2.1'!$G$106:$J$108,'[12]2.1'!$G$127:$J$127,'[12]2.1'!$G$131:$J$132,'[12]2.1'!$G$134:$J$134,'[12]2.1'!$G$136:$J$138</definedName>
    <definedName name="P6_T2.2_Protect" hidden="1">'[12]2.2'!$B$153:$B$154,'[12]2.2'!$B$160:$B$161,'[12]2.2'!$B$169:$B$170,'[12]2.2'!$B$176:$B$177,'[12]2.2'!$B$185:$B$186,'[12]2.2'!$B$192:$B$193,'[12]2.2'!$E$4:$J$4</definedName>
    <definedName name="P6_T2?Data">'[12]2'!$H$174:$K$174,'[12]2'!$E$176:$G$179,'[12]2'!$H$176:$K$179,'[12]2'!$E$181:$G$189,'[12]2'!$H$181:$K$189,'[12]2'!$E$191:$G$191,'[12]2'!$H$191:$K$191,'[12]2'!$E$194:$G$196</definedName>
    <definedName name="P6_T2_1_Protect" hidden="1">'[12]2.1'!$B$163:$B$164,'[12]2.1'!$B$172:$B$173,'[12]2.1'!$B$179:$B$180,'[12]2.1'!$B$188:$B$189,'[12]2.1'!$B$195:$B$196,'[12]2.1'!$E$4:$J$4,'[12]2.1'!$G$159:$J$159</definedName>
    <definedName name="P6_T2_2_Protect" hidden="1">'[12]2.2'!$B$160:$B$161,'[12]2.2'!$B$169:$B$170,'[12]2.2'!$B$176:$B$177,'[12]2.2'!$B$185:$B$186,'[12]2.2'!$B$192:$B$193,'[12]2.2'!$E$4:$J$4,'[12]2.2'!$G$15:$J$16</definedName>
    <definedName name="P6_T2_Protect" localSheetId="1" hidden="1">'[12]2'!$F$13:$G$14,'[12]2'!$E$28,'[12]2'!$F$124:$G$124,'[12]2'!$F$157:$G$157,'[12]2'!$A$210:$IV$309,'[12]2'!$N$1:$AM$65536,'[12]2'!$F$5:$G$6,P1_T2_Protect,P2_T2_Protect,P3_T2_Protect</definedName>
    <definedName name="P6_T2_Protect" localSheetId="22" hidden="1">'[12]2'!$F$13:$G$14,'[12]2'!$E$28,'[12]2'!$F$124:$G$124,'[12]2'!$F$157:$G$157,'[12]2'!$A$210:$IV$309,'[12]2'!$N$1:$AM$65536,'[12]2'!$F$5:$G$6,P1_T2_Protect,P2_T2_Protect,P3_T2_Protect</definedName>
    <definedName name="P6_T2_Protect" localSheetId="9" hidden="1">'[12]2'!$F$13:$G$14,'[12]2'!$E$28,'[12]2'!$F$124:$G$124,'[12]2'!$F$157:$G$157,'[12]2'!$A$210:$IV$309,'[12]2'!$N$1:$AM$65536,'[12]2'!$F$5:$G$6,P1_T2_Protect,P2_T2_Protect,P3_T2_Protect</definedName>
    <definedName name="P6_T2_Protect" localSheetId="12" hidden="1">'[12]2'!$F$13:$G$14,'[12]2'!$E$28,'[12]2'!$F$124:$G$124,'[12]2'!$F$157:$G$157,'[12]2'!$A$210:$IV$309,'[12]2'!$N$1:$AM$65536,'[12]2'!$F$5:$G$6,P1_T2_Protect,P2_T2_Protect,P3_T2_Protect</definedName>
    <definedName name="P6_T2_Protect" localSheetId="28" hidden="1">'[12]2'!$F$13:$G$14,'[12]2'!$E$28,'[12]2'!$F$124:$G$124,'[12]2'!$F$157:$G$157,'[12]2'!$A$210:$IV$309,'[12]2'!$N$1:$AM$65536,'[12]2'!$F$5:$G$6,P1_T2_Protect,P2_T2_Protect,P3_T2_Protect</definedName>
    <definedName name="P6_T2_Protect" localSheetId="25" hidden="1">'[12]2'!$F$13:$G$14,'[12]2'!$E$28,'[12]2'!$F$124:$G$124,'[12]2'!$F$157:$G$157,'[12]2'!$A$210:$IV$309,'[12]2'!$N$1:$AM$65536,'[12]2'!$F$5:$G$6,P1_T2_Protect,P2_T2_Protect,P3_T2_Protect</definedName>
    <definedName name="P6_T2_Protect" localSheetId="26" hidden="1">'[12]2'!$F$13:$G$14,'[12]2'!$E$28,'[12]2'!$F$124:$G$124,'[12]2'!$F$157:$G$157,'[12]2'!$A$210:$IV$309,'[12]2'!$N$1:$AM$65536,'[12]2'!$F$5:$G$6,P1_T2_Protect,P2_T2_Protect,P3_T2_Protect</definedName>
    <definedName name="P6_T2_Protect" localSheetId="27" hidden="1">'[12]2'!$F$13:$G$14,'[12]2'!$E$28,'[12]2'!$F$124:$G$124,'[12]2'!$F$157:$G$157,'[12]2'!$A$210:$IV$309,'[12]2'!$N$1:$AM$65536,'[12]2'!$F$5:$G$6,P1_T2_Protect,P2_T2_Protect,P3_T2_Protect</definedName>
    <definedName name="P6_T2_Protect" localSheetId="13" hidden="1">'[12]2'!$F$13:$G$14,'[12]2'!$E$28,'[12]2'!$F$124:$G$124,'[12]2'!$F$157:$G$157,'[12]2'!$A$210:$IV$309,'[12]2'!$N$1:$AM$65536,'[12]2'!$F$5:$G$6,P1_T2_Protect,P2_T2_Protect,P3_T2_Protect</definedName>
    <definedName name="P6_T2_Protect" hidden="1">'[12]2'!$F$13:$G$14,'[12]2'!$E$28,'[12]2'!$F$124:$G$124,'[12]2'!$F$157:$G$157,'[12]2'!$A$210:$IV$309,'[12]2'!$N$1:$AM$65536,'[12]2'!$F$5:$G$6,P1_T2_Protect,P2_T2_Protect,P3_T2_Protect</definedName>
    <definedName name="P7_T2.1_Protect" localSheetId="1" hidden="1">'[12]2.1'!$G$140:$J$142,'[12]2.1'!$G$159:$J$159,'[12]2.1'!$A$210:$IV$310,'[12]2.1'!$O$1:$AO$65536,'[12]2.1'!$B$33:$B$34,P1_T2.1_Protect,P2_T2.1_Protect,P3_T2.1_Protect</definedName>
    <definedName name="P7_T2.1_Protect" localSheetId="22" hidden="1">'[12]2.1'!$G$140:$J$142,'[12]2.1'!$G$159:$J$159,'[12]2.1'!$A$210:$IV$310,'[12]2.1'!$O$1:$AO$65536,'[12]2.1'!$B$33:$B$34,P1_T2.1_Protect,P2_T2.1_Protect,P3_T2.1_Protect</definedName>
    <definedName name="P7_T2.1_Protect" localSheetId="9" hidden="1">'[12]2.1'!$G$140:$J$142,'[12]2.1'!$G$159:$J$159,'[12]2.1'!$A$210:$IV$310,'[12]2.1'!$O$1:$AO$65536,'[12]2.1'!$B$33:$B$34,P1_T2.1_Protect,P2_T2.1_Protect,P3_T2.1_Protect</definedName>
    <definedName name="P7_T2.1_Protect" localSheetId="12" hidden="1">'[12]2.1'!$G$140:$J$142,'[12]2.1'!$G$159:$J$159,'[12]2.1'!$A$210:$IV$310,'[12]2.1'!$O$1:$AO$65536,'[12]2.1'!$B$33:$B$34,P1_T2.1_Protect,P2_T2.1_Protect,P3_T2.1_Protect</definedName>
    <definedName name="P7_T2.1_Protect" localSheetId="28" hidden="1">'[12]2.1'!$G$140:$J$142,'[12]2.1'!$G$159:$J$159,'[12]2.1'!$A$210:$IV$310,'[12]2.1'!$O$1:$AO$65536,'[12]2.1'!$B$33:$B$34,P1_T2.1_Protect,P2_T2.1_Protect,P3_T2.1_Protect</definedName>
    <definedName name="P7_T2.1_Protect" localSheetId="25" hidden="1">'[12]2.1'!$G$140:$J$142,'[12]2.1'!$G$159:$J$159,'[12]2.1'!$A$210:$IV$310,'[12]2.1'!$O$1:$AO$65536,'[12]2.1'!$B$33:$B$34,P1_T2.1_Protect,P2_T2.1_Protect,P3_T2.1_Protect</definedName>
    <definedName name="P7_T2.1_Protect" localSheetId="26" hidden="1">'[12]2.1'!$G$140:$J$142,'[12]2.1'!$G$159:$J$159,'[12]2.1'!$A$210:$IV$310,'[12]2.1'!$O$1:$AO$65536,'[12]2.1'!$B$33:$B$34,P1_T2.1_Protect,P2_T2.1_Protect,P3_T2.1_Protect</definedName>
    <definedName name="P7_T2.1_Protect" localSheetId="27" hidden="1">'[12]2.1'!$G$140:$J$142,'[12]2.1'!$G$159:$J$159,'[12]2.1'!$A$210:$IV$310,'[12]2.1'!$O$1:$AO$65536,'[12]2.1'!$B$33:$B$34,P1_T2.1_Protect,P2_T2.1_Protect,P3_T2.1_Protect</definedName>
    <definedName name="P7_T2.1_Protect" localSheetId="13" hidden="1">'[12]2.1'!$G$140:$J$142,'[12]2.1'!$G$159:$J$159,'[12]2.1'!$A$210:$IV$310,'[12]2.1'!$O$1:$AO$65536,'[12]2.1'!$B$33:$B$34,P1_T2.1_Protect,P2_T2.1_Protect,P3_T2.1_Protect</definedName>
    <definedName name="P7_T2.1_Protect" hidden="1">'[12]2.1'!$G$140:$J$142,'[12]2.1'!$G$159:$J$159,'[12]2.1'!$A$210:$IV$310,'[12]2.1'!$O$1:$AO$65536,'[12]2.1'!$B$33:$B$34,P1_T2.1_Protect,P2_T2.1_Protect,P3_T2.1_Protect</definedName>
    <definedName name="P7_T2?Data" localSheetId="1">'[12]2'!$H$194:$K$196,'[12]2'!$E$198:$G$205,'[12]2'!$H$198:$K$205,'[12]2'!$E$208:$G$208,'[12]2'!$H$208:$K$208,'[12]2'!$E$6:$G$32,P1_T2?Data,P2_T2?Data,P3_T2?Data,P4_T2?Data</definedName>
    <definedName name="P7_T2?Data" localSheetId="22">'[12]2'!$H$194:$K$196,'[12]2'!$E$198:$G$205,'[12]2'!$H$198:$K$205,'[12]2'!$E$208:$G$208,'[12]2'!$H$208:$K$208,'[12]2'!$E$6:$G$32,P1_T2?Data,P2_T2?Data,P3_T2?Data,P4_T2?Data</definedName>
    <definedName name="P7_T2?Data" localSheetId="9">'[12]2'!$H$194:$K$196,'[12]2'!$E$198:$G$205,'[12]2'!$H$198:$K$205,'[12]2'!$E$208:$G$208,'[12]2'!$H$208:$K$208,'[12]2'!$E$6:$G$32,P1_T2?Data,P2_T2?Data,P3_T2?Data,P4_T2?Data</definedName>
    <definedName name="P7_T2?Data" localSheetId="12">'[12]2'!$H$194:$K$196,'[12]2'!$E$198:$G$205,'[12]2'!$H$198:$K$205,'[12]2'!$E$208:$G$208,'[12]2'!$H$208:$K$208,'[12]2'!$E$6:$G$32,P1_T2?Data,P2_T2?Data,P3_T2?Data,P4_T2?Data</definedName>
    <definedName name="P7_T2?Data" localSheetId="28">'[12]2'!$H$194:$K$196,'[12]2'!$E$198:$G$205,'[12]2'!$H$198:$K$205,'[12]2'!$E$208:$G$208,'[12]2'!$H$208:$K$208,'[12]2'!$E$6:$G$32,P1_T2?Data,P2_T2?Data,P3_T2?Data,P4_T2?Data</definedName>
    <definedName name="P7_T2?Data" localSheetId="25">'[12]2'!$H$194:$K$196,'[12]2'!$E$198:$G$205,'[12]2'!$H$198:$K$205,'[12]2'!$E$208:$G$208,'[12]2'!$H$208:$K$208,'[12]2'!$E$6:$G$32,P1_T2?Data,P2_T2?Data,P3_T2?Data,P4_T2?Data</definedName>
    <definedName name="P7_T2?Data" localSheetId="26">'[12]2'!$H$194:$K$196,'[12]2'!$E$198:$G$205,'[12]2'!$H$198:$K$205,'[12]2'!$E$208:$G$208,'[12]2'!$H$208:$K$208,'[12]2'!$E$6:$G$32,P1_T2?Data,P2_T2?Data,P3_T2?Data,P4_T2?Data</definedName>
    <definedName name="P7_T2?Data" localSheetId="27">'[12]2'!$H$194:$K$196,'[12]2'!$E$198:$G$205,'[12]2'!$H$198:$K$205,'[12]2'!$E$208:$G$208,'[12]2'!$H$208:$K$208,'[12]2'!$E$6:$G$32,P1_T2?Data,P2_T2?Data,P3_T2?Data,P4_T2?Data</definedName>
    <definedName name="P7_T2?Data" localSheetId="13">'[12]2'!$H$194:$K$196,'[12]2'!$E$198:$G$205,'[12]2'!$H$198:$K$205,'[12]2'!$E$208:$G$208,'[12]2'!$H$208:$K$208,'[12]2'!$E$6:$G$32,P1_T2?Data,P2_T2?Data,P3_T2?Data,P4_T2?Data</definedName>
    <definedName name="P7_T2?Data">'[12]2'!$H$194:$K$196,'[12]2'!$E$198:$G$205,'[12]2'!$H$198:$K$205,'[12]2'!$E$208:$G$208,'[12]2'!$H$208:$K$208,'[12]2'!$E$6:$G$32,P1_T2?Data,P2_T2?Data,P3_T2?Data,P4_T2?Data</definedName>
    <definedName name="P7_T2_1_Protect" localSheetId="1" hidden="1">'[12]2.1'!$G$127:$J$127,'[12]2.1'!$G$15:$J$16,'[12]2.1'!$A$210:$IV$310,'[12]2.1'!$O$1:$AO$65536,'[12]2.1'!$B$204:$B$205,P1_T2_1_Protect,P2_T2_1_Protect,P3_T2_1_Protect</definedName>
    <definedName name="P7_T2_1_Protect" localSheetId="22" hidden="1">'[12]2.1'!$G$127:$J$127,'[12]2.1'!$G$15:$J$16,'[12]2.1'!$A$210:$IV$310,'[12]2.1'!$O$1:$AO$65536,'[12]2.1'!$B$204:$B$205,P1_T2_1_Protect,P2_T2_1_Protect,P3_T2_1_Protect</definedName>
    <definedName name="P7_T2_1_Protect" localSheetId="9" hidden="1">'[12]2.1'!$G$127:$J$127,'[12]2.1'!$G$15:$J$16,'[12]2.1'!$A$210:$IV$310,'[12]2.1'!$O$1:$AO$65536,'[12]2.1'!$B$204:$B$205,P1_T2_1_Protect,P2_T2_1_Protect,P3_T2_1_Protect</definedName>
    <definedName name="P7_T2_1_Protect" localSheetId="12" hidden="1">'[12]2.1'!$G$127:$J$127,'[12]2.1'!$G$15:$J$16,'[12]2.1'!$A$210:$IV$310,'[12]2.1'!$O$1:$AO$65536,'[12]2.1'!$B$204:$B$205,P1_T2_1_Protect,P2_T2_1_Protect,P3_T2_1_Protect</definedName>
    <definedName name="P7_T2_1_Protect" localSheetId="28" hidden="1">'[12]2.1'!$G$127:$J$127,'[12]2.1'!$G$15:$J$16,'[12]2.1'!$A$210:$IV$310,'[12]2.1'!$O$1:$AO$65536,'[12]2.1'!$B$204:$B$205,P1_T2_1_Protect,P2_T2_1_Protect,P3_T2_1_Protect</definedName>
    <definedName name="P7_T2_1_Protect" localSheetId="25" hidden="1">'[12]2.1'!$G$127:$J$127,'[12]2.1'!$G$15:$J$16,'[12]2.1'!$A$210:$IV$310,'[12]2.1'!$O$1:$AO$65536,'[12]2.1'!$B$204:$B$205,P1_T2_1_Protect,P2_T2_1_Protect,P3_T2_1_Protect</definedName>
    <definedName name="P7_T2_1_Protect" localSheetId="26" hidden="1">'[12]2.1'!$G$127:$J$127,'[12]2.1'!$G$15:$J$16,'[12]2.1'!$A$210:$IV$310,'[12]2.1'!$O$1:$AO$65536,'[12]2.1'!$B$204:$B$205,P1_T2_1_Protect,P2_T2_1_Protect,P3_T2_1_Protect</definedName>
    <definedName name="P7_T2_1_Protect" localSheetId="27" hidden="1">'[12]2.1'!$G$127:$J$127,'[12]2.1'!$G$15:$J$16,'[12]2.1'!$A$210:$IV$310,'[12]2.1'!$O$1:$AO$65536,'[12]2.1'!$B$204:$B$205,P1_T2_1_Protect,P2_T2_1_Protect,P3_T2_1_Protect</definedName>
    <definedName name="P7_T2_1_Protect" localSheetId="13" hidden="1">'[12]2.1'!$G$127:$J$127,'[12]2.1'!$G$15:$J$16,'[12]2.1'!$A$210:$IV$310,'[12]2.1'!$O$1:$AO$65536,'[12]2.1'!$B$204:$B$205,P1_T2_1_Protect,P2_T2_1_Protect,P3_T2_1_Protect</definedName>
    <definedName name="P7_T2_1_Protect" hidden="1">'[12]2.1'!$G$127:$J$127,'[12]2.1'!$G$15:$J$16,'[12]2.1'!$A$210:$IV$310,'[12]2.1'!$O$1:$AO$65536,'[12]2.1'!$B$204:$B$205,P1_T2_1_Protect,P2_T2_1_Protect,P3_T2_1_Protect</definedName>
    <definedName name="P7_T2_2_Protect" localSheetId="1" hidden="1">'[12]2.2'!$G$124:$J$124,'[12]2.2'!$G$156:$J$156,'[12]2.2'!$A$207:$IV$307,'[12]2.2'!$O$1:$AO$65536,'[12]2.2'!$B$201:$B$202,P1_T2_2_Protect,P2_T2_2_Protect,P3_T2_2_Protect</definedName>
    <definedName name="P7_T2_2_Protect" localSheetId="22" hidden="1">'[12]2.2'!$G$124:$J$124,'[12]2.2'!$G$156:$J$156,'[12]2.2'!$A$207:$IV$307,'[12]2.2'!$O$1:$AO$65536,'[12]2.2'!$B$201:$B$202,P1_T2_2_Protect,P2_T2_2_Protect,P3_T2_2_Protect</definedName>
    <definedName name="P7_T2_2_Protect" localSheetId="9" hidden="1">'[12]2.2'!$G$124:$J$124,'[12]2.2'!$G$156:$J$156,'[12]2.2'!$A$207:$IV$307,'[12]2.2'!$O$1:$AO$65536,'[12]2.2'!$B$201:$B$202,P1_T2_2_Protect,P2_T2_2_Protect,P3_T2_2_Protect</definedName>
    <definedName name="P7_T2_2_Protect" localSheetId="12" hidden="1">'[12]2.2'!$G$124:$J$124,'[12]2.2'!$G$156:$J$156,'[12]2.2'!$A$207:$IV$307,'[12]2.2'!$O$1:$AO$65536,'[12]2.2'!$B$201:$B$202,P1_T2_2_Protect,P2_T2_2_Protect,P3_T2_2_Protect</definedName>
    <definedName name="P7_T2_2_Protect" localSheetId="28" hidden="1">'[12]2.2'!$G$124:$J$124,'[12]2.2'!$G$156:$J$156,'[12]2.2'!$A$207:$IV$307,'[12]2.2'!$O$1:$AO$65536,'[12]2.2'!$B$201:$B$202,P1_T2_2_Protect,P2_T2_2_Protect,P3_T2_2_Protect</definedName>
    <definedName name="P7_T2_2_Protect" localSheetId="25" hidden="1">'[12]2.2'!$G$124:$J$124,'[12]2.2'!$G$156:$J$156,'[12]2.2'!$A$207:$IV$307,'[12]2.2'!$O$1:$AO$65536,'[12]2.2'!$B$201:$B$202,P1_T2_2_Protect,P2_T2_2_Protect,P3_T2_2_Protect</definedName>
    <definedName name="P7_T2_2_Protect" localSheetId="26" hidden="1">'[12]2.2'!$G$124:$J$124,'[12]2.2'!$G$156:$J$156,'[12]2.2'!$A$207:$IV$307,'[12]2.2'!$O$1:$AO$65536,'[12]2.2'!$B$201:$B$202,P1_T2_2_Protect,P2_T2_2_Protect,P3_T2_2_Protect</definedName>
    <definedName name="P7_T2_2_Protect" localSheetId="27" hidden="1">'[12]2.2'!$G$124:$J$124,'[12]2.2'!$G$156:$J$156,'[12]2.2'!$A$207:$IV$307,'[12]2.2'!$O$1:$AO$65536,'[12]2.2'!$B$201:$B$202,P1_T2_2_Protect,P2_T2_2_Protect,P3_T2_2_Protect</definedName>
    <definedName name="P7_T2_2_Protect" localSheetId="13" hidden="1">'[12]2.2'!$G$124:$J$124,'[12]2.2'!$G$156:$J$156,'[12]2.2'!$A$207:$IV$307,'[12]2.2'!$O$1:$AO$65536,'[12]2.2'!$B$201:$B$202,P1_T2_2_Protect,P2_T2_2_Protect,P3_T2_2_Protect</definedName>
    <definedName name="P7_T2_2_Protect" hidden="1">'[12]2.2'!$G$124:$J$124,'[12]2.2'!$G$156:$J$156,'[12]2.2'!$A$207:$IV$307,'[12]2.2'!$O$1:$AO$65536,'[12]2.2'!$B$201:$B$202,P1_T2_2_Protect,P2_T2_2_Protect,P3_T2_2_Protect</definedName>
    <definedName name="PostTEList">[13]Лист!$A$525</definedName>
    <definedName name="Price_per_unit" localSheetId="6">#REF!</definedName>
    <definedName name="Price_per_unit" localSheetId="9">#REF!</definedName>
    <definedName name="Price_per_unit" localSheetId="25">#REF!</definedName>
    <definedName name="Price_per_unit" localSheetId="26">#REF!</definedName>
    <definedName name="Price_per_unit" localSheetId="27">#REF!</definedName>
    <definedName name="Price_per_unit">#REF!</definedName>
    <definedName name="ProchPotrTEList">[13]Лист!$A$575</definedName>
    <definedName name="ProClarityColumn" localSheetId="25">#REF!</definedName>
    <definedName name="ProClarityColumn" localSheetId="26">#REF!</definedName>
    <definedName name="ProClarityColumn" localSheetId="27">#REF!</definedName>
    <definedName name="ProClarityColumn">#REF!</definedName>
    <definedName name="ProClarityData" localSheetId="25">#REF!</definedName>
    <definedName name="ProClarityData" localSheetId="26">#REF!</definedName>
    <definedName name="ProClarityData" localSheetId="27">#REF!</definedName>
    <definedName name="ProClarityData">#REF!</definedName>
    <definedName name="ProClarityRow" localSheetId="25">#REF!</definedName>
    <definedName name="ProClarityRow" localSheetId="26">#REF!</definedName>
    <definedName name="ProClarityRow" localSheetId="27">#REF!</definedName>
    <definedName name="ProClarityRow">#REF!</definedName>
    <definedName name="ProClarityTitle" localSheetId="25">#REF!</definedName>
    <definedName name="ProClarityTitle" localSheetId="26">#REF!</definedName>
    <definedName name="ProClarityTitle" localSheetId="27">#REF!</definedName>
    <definedName name="ProClarityTitle">#REF!</definedName>
    <definedName name="Protection" localSheetId="1">P3_Protection,'1.План'!P4_Protection</definedName>
    <definedName name="Protection" localSheetId="22">P3_Protection,'28.ПЛАН о Фин.сост'!P4_Protection</definedName>
    <definedName name="Protection" localSheetId="9">P3_Protection,'4.защ лош'!P4_Protection</definedName>
    <definedName name="Protection" localSheetId="12">P3_Protection,'5.ФОТ'!P4_Protection</definedName>
    <definedName name="Protection" localSheetId="28">P3_Protection,Затраты!P4_Protection</definedName>
    <definedName name="Protection" localSheetId="25">P3_Protection,'КРМД-24'!P4_Protection</definedName>
    <definedName name="Protection" localSheetId="26">P3_Protection,'КРМД-25'!P4_Protection</definedName>
    <definedName name="Protection" localSheetId="27">P3_Protection,'КРМД-26'!P4_Protection</definedName>
    <definedName name="Protection" localSheetId="13">P3_Protection,'фИН РЕЗ'!P4_Protection</definedName>
    <definedName name="Protection">P3_Protection,P4_Protection</definedName>
    <definedName name="REG_PROT">[3]regs!$H$18:$H$23,[3]regs!$H$25:$H$26,[3]regs!$H$28:$H$28,[3]regs!$H$30:$H$32,[3]regs!$H$35:$H$39,[3]regs!$H$46:$H$46,[3]regs!$H$13:$H$16</definedName>
    <definedName name="REGUL">#REF!</definedName>
    <definedName name="rgk">[5]FST5!$G$214:$G$217,[5]FST5!$G$219:$G$224,[5]FST5!$G$226,[5]FST5!$G$228,[5]FST5!$G$230,[5]FST5!$G$232,[5]FST5!$G$197:$G$212</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BT_PROT" localSheetId="1">[3]сбыт!$G$14:$H$15,[3]сбыт!$G$8:$H$9,[3]сбыт!$G$11:$H$12,[3]сбыт!$G$47:$H$50,P1_SBT_PROT</definedName>
    <definedName name="SBT_PROT" localSheetId="22">[3]сбыт!$G$14:$H$15,[3]сбыт!$G$8:$H$9,[3]сбыт!$G$11:$H$12,[3]сбыт!$G$47:$H$50,P1_SBT_PROT</definedName>
    <definedName name="SBT_PROT" localSheetId="9">[3]сбыт!$G$14:$H$15,[3]сбыт!$G$8:$H$9,[3]сбыт!$G$11:$H$12,[3]сбыт!$G$47:$H$50,P1_SBT_PROT</definedName>
    <definedName name="SBT_PROT" localSheetId="12">[3]сбыт!$G$14:$H$15,[3]сбыт!$G$8:$H$9,[3]сбыт!$G$11:$H$12,[3]сбыт!$G$47:$H$50,P1_SBT_PROT</definedName>
    <definedName name="SBT_PROT" localSheetId="28">[3]сбыт!$G$14:$H$15,[3]сбыт!$G$8:$H$9,[3]сбыт!$G$11:$H$12,[3]сбыт!$G$47:$H$50,P1_SBT_PROT</definedName>
    <definedName name="SBT_PROT" localSheetId="25">[3]сбыт!$G$14:$H$15,[3]сбыт!$G$8:$H$9,[3]сбыт!$G$11:$H$12,[3]сбыт!$G$47:$H$50,P1_SBT_PROT</definedName>
    <definedName name="SBT_PROT" localSheetId="26">[3]сбыт!$G$14:$H$15,[3]сбыт!$G$8:$H$9,[3]сбыт!$G$11:$H$12,[3]сбыт!$G$47:$H$50,P1_SBT_PROT</definedName>
    <definedName name="SBT_PROT" localSheetId="27">[3]сбыт!$G$14:$H$15,[3]сбыт!$G$8:$H$9,[3]сбыт!$G$11:$H$12,[3]сбыт!$G$47:$H$50,P1_SBT_PROT</definedName>
    <definedName name="SBT_PROT" localSheetId="13">[3]сбыт!$G$14:$H$15,[3]сбыт!$G$8:$H$9,[3]сбыт!$G$11:$H$12,[3]сбыт!$G$47:$H$50,P1_SBT_PROT</definedName>
    <definedName name="SBT_PROT">[3]сбыт!$G$14:$H$15,[3]сбыт!$G$8:$H$9,[3]сбыт!$G$11:$H$12,[3]сбыт!$G$47:$H$50,P1_SBT_PROT</definedName>
    <definedName name="SBTcom">[3]Справочники!#REF!</definedName>
    <definedName name="sbyt">[5]FST5!$G$70:$G$75,[5]FST5!$G$77:$G$78,[5]FST5!$G$80:$G$83,[5]FST5!$G$85,[5]FST5!$G$87:$G$91,[5]FST5!$G$93,[5]FST5!$G$95:$G$97,[5]FST5!$G$52:$G$68</definedName>
    <definedName name="SCOPE_16_PRT" localSheetId="1">P1_SCOPE_16_PRT,P2_SCOPE_16_PRT</definedName>
    <definedName name="SCOPE_16_PRT" localSheetId="22">P1_SCOPE_16_PRT,P2_SCOPE_16_PRT</definedName>
    <definedName name="SCOPE_16_PRT" localSheetId="9">P1_SCOPE_16_PRT,P2_SCOPE_16_PRT</definedName>
    <definedName name="SCOPE_16_PRT" localSheetId="12">P1_SCOPE_16_PRT,P2_SCOPE_16_PRT</definedName>
    <definedName name="SCOPE_16_PRT" localSheetId="28">P1_SCOPE_16_PRT,P2_SCOPE_16_PRT</definedName>
    <definedName name="SCOPE_16_PRT" localSheetId="25">P1_SCOPE_16_PRT,P2_SCOPE_16_PRT</definedName>
    <definedName name="SCOPE_16_PRT" localSheetId="26">P1_SCOPE_16_PRT,P2_SCOPE_16_PRT</definedName>
    <definedName name="SCOPE_16_PRT" localSheetId="27">P1_SCOPE_16_PRT,P2_SCOPE_16_PRT</definedName>
    <definedName name="SCOPE_16_PRT" localSheetId="13">P1_SCOPE_16_PRT,P2_SCOPE_16_PRT</definedName>
    <definedName name="SCOPE_16_PRT">P1_SCOPE_16_PRT,P2_SCOPE_16_PRT</definedName>
    <definedName name="Scope_17_PRT" localSheetId="1">P1_SCOPE_16_PRT,P2_SCOPE_16_PRT</definedName>
    <definedName name="Scope_17_PRT" localSheetId="22">P1_SCOPE_16_PRT,P2_SCOPE_16_PRT</definedName>
    <definedName name="Scope_17_PRT" localSheetId="9">P1_SCOPE_16_PRT,P2_SCOPE_16_PRT</definedName>
    <definedName name="Scope_17_PRT" localSheetId="12">P1_SCOPE_16_PRT,P2_SCOPE_16_PRT</definedName>
    <definedName name="Scope_17_PRT" localSheetId="28">P1_SCOPE_16_PRT,P2_SCOPE_16_PRT</definedName>
    <definedName name="Scope_17_PRT" localSheetId="25">P1_SCOPE_16_PRT,P2_SCOPE_16_PRT</definedName>
    <definedName name="Scope_17_PRT" localSheetId="26">P1_SCOPE_16_PRT,P2_SCOPE_16_PRT</definedName>
    <definedName name="Scope_17_PRT" localSheetId="27">P1_SCOPE_16_PRT,P2_SCOPE_16_PRT</definedName>
    <definedName name="Scope_17_PRT" localSheetId="13">P1_SCOPE_16_PRT,P2_SCOPE_16_PRT</definedName>
    <definedName name="Scope_17_PRT">P1_SCOPE_16_PRT,P2_SCOPE_16_PRT</definedName>
    <definedName name="SCOPE_ESOLD">#REF!</definedName>
    <definedName name="SCOPE_FLOAD" localSheetId="1">'[3]Рег генер'!$F$13:$F$28,P1_SCOPE_FLOAD</definedName>
    <definedName name="SCOPE_FLOAD" localSheetId="22">'[3]Рег генер'!$F$13:$F$28,P1_SCOPE_FLOAD</definedName>
    <definedName name="SCOPE_FLOAD" localSheetId="9">'[3]Рег генер'!$F$13:$F$28,P1_SCOPE_FLOAD</definedName>
    <definedName name="SCOPE_FLOAD" localSheetId="12">'[3]Рег генер'!$F$13:$F$28,P1_SCOPE_FLOAD</definedName>
    <definedName name="SCOPE_FLOAD" localSheetId="28">'[3]Рег генер'!$F$13:$F$28,P1_SCOPE_FLOAD</definedName>
    <definedName name="SCOPE_FLOAD" localSheetId="25">'[3]Рег генер'!$F$13:$F$28,P1_SCOPE_FLOAD</definedName>
    <definedName name="SCOPE_FLOAD" localSheetId="26">'[3]Рег генер'!$F$13:$F$28,P1_SCOPE_FLOAD</definedName>
    <definedName name="SCOPE_FLOAD" localSheetId="27">'[3]Рег генер'!$F$13:$F$28,P1_SCOPE_FLOAD</definedName>
    <definedName name="SCOPE_FLOAD" localSheetId="13">'[3]Рег генер'!$F$13:$F$28,P1_SCOPE_FLOAD</definedName>
    <definedName name="SCOPE_FLOAD">'[3]Рег генер'!$F$13:$F$28,P1_SCOPE_FLOAD</definedName>
    <definedName name="SCOPE_FRML" localSheetId="1">'[3]Рег генер'!$F$46:$F$46,'[3]Рег генер'!$F$13:$F$16,P1_SCOPE_FRML</definedName>
    <definedName name="SCOPE_FRML" localSheetId="22">'[3]Рег генер'!$F$46:$F$46,'[3]Рег генер'!$F$13:$F$16,P1_SCOPE_FRML</definedName>
    <definedName name="SCOPE_FRML" localSheetId="9">'[3]Рег генер'!$F$46:$F$46,'[3]Рег генер'!$F$13:$F$16,P1_SCOPE_FRML</definedName>
    <definedName name="SCOPE_FRML" localSheetId="12">'[3]Рег генер'!$F$46:$F$46,'[3]Рег генер'!$F$13:$F$16,P1_SCOPE_FRML</definedName>
    <definedName name="SCOPE_FRML" localSheetId="28">'[3]Рег генер'!$F$46:$F$46,'[3]Рег генер'!$F$13:$F$16,P1_SCOPE_FRML</definedName>
    <definedName name="SCOPE_FRML" localSheetId="25">'[3]Рег генер'!$F$46:$F$46,'[3]Рег генер'!$F$13:$F$16,P1_SCOPE_FRML</definedName>
    <definedName name="SCOPE_FRML" localSheetId="26">'[3]Рег генер'!$F$46:$F$46,'[3]Рег генер'!$F$13:$F$16,P1_SCOPE_FRML</definedName>
    <definedName name="SCOPE_FRML" localSheetId="27">'[3]Рег генер'!$F$46:$F$46,'[3]Рег генер'!$F$13:$F$16,P1_SCOPE_FRML</definedName>
    <definedName name="SCOPE_FRML" localSheetId="13">'[3]Рег генер'!$F$46:$F$46,'[3]Рег генер'!$F$13:$F$16,P1_SCOPE_FRML</definedName>
    <definedName name="SCOPE_FRML">'[3]Рег генер'!$F$46:$F$46,'[3]Рег генер'!$F$13:$F$16,P1_SCOPE_FRML</definedName>
    <definedName name="SCOPE_OUTD">[5]FST5!$G$23:$G$30,[5]FST5!$G$32:$G$35,[5]FST5!$G$37,[5]FST5!$G$39:$G$45,[5]FST5!$G$47,[5]FST5!$G$49,[5]FST5!$G$5:$G$21</definedName>
    <definedName name="SCOPE_PER_PRT" localSheetId="1">P5_SCOPE_PER_PRT,P6_SCOPE_PER_PRT,P7_SCOPE_PER_PRT,P8_SCOPE_PER_PRT</definedName>
    <definedName name="SCOPE_PER_PRT" localSheetId="22">P5_SCOPE_PER_PRT,P6_SCOPE_PER_PRT,P7_SCOPE_PER_PRT,P8_SCOPE_PER_PRT</definedName>
    <definedName name="SCOPE_PER_PRT" localSheetId="9">P5_SCOPE_PER_PRT,P6_SCOPE_PER_PRT,P7_SCOPE_PER_PRT,P8_SCOPE_PER_PRT</definedName>
    <definedName name="SCOPE_PER_PRT" localSheetId="12">P5_SCOPE_PER_PRT,P6_SCOPE_PER_PRT,P7_SCOPE_PER_PRT,P8_SCOPE_PER_PRT</definedName>
    <definedName name="SCOPE_PER_PRT" localSheetId="28">P5_SCOPE_PER_PRT,P6_SCOPE_PER_PRT,P7_SCOPE_PER_PRT,P8_SCOPE_PER_PRT</definedName>
    <definedName name="SCOPE_PER_PRT" localSheetId="25">P5_SCOPE_PER_PRT,P6_SCOPE_PER_PRT,P7_SCOPE_PER_PRT,P8_SCOPE_PER_PRT</definedName>
    <definedName name="SCOPE_PER_PRT" localSheetId="26">P5_SCOPE_PER_PRT,P6_SCOPE_PER_PRT,P7_SCOPE_PER_PRT,P8_SCOPE_PER_PRT</definedName>
    <definedName name="SCOPE_PER_PRT" localSheetId="27">P5_SCOPE_PER_PRT,P6_SCOPE_PER_PRT,P7_SCOPE_PER_PRT,P8_SCOPE_PER_PRT</definedName>
    <definedName name="SCOPE_PER_PRT" localSheetId="13">P5_SCOPE_PER_PRT,P6_SCOPE_PER_PRT,P7_SCOPE_PER_PRT,P8_SCOPE_PER_PRT</definedName>
    <definedName name="SCOPE_PER_PRT">P5_SCOPE_PER_PRT,P6_SCOPE_PER_PRT,P7_SCOPE_PER_PRT,P8_SCOPE_PER_PRT</definedName>
    <definedName name="SCOPE_SS">[14]Данные!$C$25:$C$31,[14]Данные!$C$33,[14]Данные!$B$14,[14]Данные!$C$35:$C$37</definedName>
    <definedName name="SCOPE_SV_PRT" localSheetId="1">P1_SCOPE_SV_PRT,P2_SCOPE_SV_PRT,P3_SCOPE_SV_PRT</definedName>
    <definedName name="SCOPE_SV_PRT" localSheetId="22">P1_SCOPE_SV_PRT,P2_SCOPE_SV_PRT,P3_SCOPE_SV_PRT</definedName>
    <definedName name="SCOPE_SV_PRT" localSheetId="9">P1_SCOPE_SV_PRT,P2_SCOPE_SV_PRT,P3_SCOPE_SV_PRT</definedName>
    <definedName name="SCOPE_SV_PRT" localSheetId="12">P1_SCOPE_SV_PRT,P2_SCOPE_SV_PRT,P3_SCOPE_SV_PRT</definedName>
    <definedName name="SCOPE_SV_PRT" localSheetId="28">P1_SCOPE_SV_PRT,P2_SCOPE_SV_PRT,P3_SCOPE_SV_PRT</definedName>
    <definedName name="SCOPE_SV_PRT" localSheetId="25">P1_SCOPE_SV_PRT,P2_SCOPE_SV_PRT,P3_SCOPE_SV_PRT</definedName>
    <definedName name="SCOPE_SV_PRT" localSheetId="26">P1_SCOPE_SV_PRT,P2_SCOPE_SV_PRT,P3_SCOPE_SV_PRT</definedName>
    <definedName name="SCOPE_SV_PRT" localSheetId="27">P1_SCOPE_SV_PRT,P2_SCOPE_SV_PRT,P3_SCOPE_SV_PRT</definedName>
    <definedName name="SCOPE_SV_PRT" localSheetId="13">P1_SCOPE_SV_PRT,P2_SCOPE_SV_PRT,P3_SCOPE_SV_PRT</definedName>
    <definedName name="SCOPE_SV_PRT">P1_SCOPE_SV_PRT,P2_SCOPE_SV_PRT,P3_SCOPE_SV_PRT</definedName>
    <definedName name="SCOPE_TP">[5]FST5!$L$12:$L$23,[5]FST5!$L$5:$L$8</definedName>
    <definedName name="Selanl" localSheetId="25">#REF!</definedName>
    <definedName name="Selanl" localSheetId="26">#REF!</definedName>
    <definedName name="Selanl" localSheetId="27">#REF!</definedName>
    <definedName name="Selanl">#REF!</definedName>
    <definedName name="sencount" hidden="1">2</definedName>
    <definedName name="SET_PROT" localSheetId="1">[3]сети!$G$17:$H$21,[3]сети!$G$14:$H$15,[3]сети!$G$11:$H$12,[3]сети!$G$8:$H$9,[3]сети!$G$47:$H$50,P1_SET_PROT</definedName>
    <definedName name="SET_PROT" localSheetId="22">[3]сети!$G$17:$H$21,[3]сети!$G$14:$H$15,[3]сети!$G$11:$H$12,[3]сети!$G$8:$H$9,[3]сети!$G$47:$H$50,P1_SET_PROT</definedName>
    <definedName name="SET_PROT" localSheetId="9">[3]сети!$G$17:$H$21,[3]сети!$G$14:$H$15,[3]сети!$G$11:$H$12,[3]сети!$G$8:$H$9,[3]сети!$G$47:$H$50,P1_SET_PROT</definedName>
    <definedName name="SET_PROT" localSheetId="12">[3]сети!$G$17:$H$21,[3]сети!$G$14:$H$15,[3]сети!$G$11:$H$12,[3]сети!$G$8:$H$9,[3]сети!$G$47:$H$50,P1_SET_PROT</definedName>
    <definedName name="SET_PROT" localSheetId="28">[3]сети!$G$17:$H$21,[3]сети!$G$14:$H$15,[3]сети!$G$11:$H$12,[3]сети!$G$8:$H$9,[3]сети!$G$47:$H$50,P1_SET_PROT</definedName>
    <definedName name="SET_PROT" localSheetId="25">[3]сети!$G$17:$H$21,[3]сети!$G$14:$H$15,[3]сети!$G$11:$H$12,[3]сети!$G$8:$H$9,[3]сети!$G$47:$H$50,P1_SET_PROT</definedName>
    <definedName name="SET_PROT" localSheetId="26">[3]сети!$G$17:$H$21,[3]сети!$G$14:$H$15,[3]сети!$G$11:$H$12,[3]сети!$G$8:$H$9,[3]сети!$G$47:$H$50,P1_SET_PROT</definedName>
    <definedName name="SET_PROT" localSheetId="27">[3]сети!$G$17:$H$21,[3]сети!$G$14:$H$15,[3]сети!$G$11:$H$12,[3]сети!$G$8:$H$9,[3]сети!$G$47:$H$50,P1_SET_PROT</definedName>
    <definedName name="SET_PROT" localSheetId="13">[3]сети!$G$17:$H$21,[3]сети!$G$14:$H$15,[3]сети!$G$11:$H$12,[3]сети!$G$8:$H$9,[3]сети!$G$47:$H$50,P1_SET_PROT</definedName>
    <definedName name="SET_PROT">[3]сети!$G$17:$H$21,[3]сети!$G$14:$H$15,[3]сети!$G$11:$H$12,[3]сети!$G$8:$H$9,[3]сети!$G$47:$H$50,P1_SET_PROT</definedName>
    <definedName name="SET_PRT" localSheetId="1">[3]сети!$G$39:$H$39,[3]сети!$G$41:$H$43,[3]сети!$G$47:$H$50,[3]сети!$G$8:$H$9,P1_SET_PRT</definedName>
    <definedName name="SET_PRT" localSheetId="22">[3]сети!$G$39:$H$39,[3]сети!$G$41:$H$43,[3]сети!$G$47:$H$50,[3]сети!$G$8:$H$9,P1_SET_PRT</definedName>
    <definedName name="SET_PRT" localSheetId="9">[3]сети!$G$39:$H$39,[3]сети!$G$41:$H$43,[3]сети!$G$47:$H$50,[3]сети!$G$8:$H$9,P1_SET_PRT</definedName>
    <definedName name="SET_PRT" localSheetId="12">[3]сети!$G$39:$H$39,[3]сети!$G$41:$H$43,[3]сети!$G$47:$H$50,[3]сети!$G$8:$H$9,P1_SET_PRT</definedName>
    <definedName name="SET_PRT" localSheetId="28">[3]сети!$G$39:$H$39,[3]сети!$G$41:$H$43,[3]сети!$G$47:$H$50,[3]сети!$G$8:$H$9,P1_SET_PRT</definedName>
    <definedName name="SET_PRT" localSheetId="25">[3]сети!$G$39:$H$39,[3]сети!$G$41:$H$43,[3]сети!$G$47:$H$50,[3]сети!$G$8:$H$9,P1_SET_PRT</definedName>
    <definedName name="SET_PRT" localSheetId="26">[3]сети!$G$39:$H$39,[3]сети!$G$41:$H$43,[3]сети!$G$47:$H$50,[3]сети!$G$8:$H$9,P1_SET_PRT</definedName>
    <definedName name="SET_PRT" localSheetId="27">[3]сети!$G$39:$H$39,[3]сети!$G$41:$H$43,[3]сети!$G$47:$H$50,[3]сети!$G$8:$H$9,P1_SET_PRT</definedName>
    <definedName name="SET_PRT" localSheetId="13">[3]сети!$G$39:$H$39,[3]сети!$G$41:$H$43,[3]сети!$G$47:$H$50,[3]сети!$G$8:$H$9,P1_SET_PRT</definedName>
    <definedName name="SET_PRT">[3]сети!$G$39:$H$39,[3]сети!$G$41:$H$43,[3]сети!$G$47:$H$50,[3]сети!$G$8:$H$9,P1_SET_PRT</definedName>
    <definedName name="SETcom">[3]Справочники!#REF!</definedName>
    <definedName name="Sheet2?prefix?">"H"</definedName>
    <definedName name="SmetaList">[15]Лист!#REF!</definedName>
    <definedName name="SPR_PROT">[3]Справочники!$E$3,[3]Справочники!#REF!</definedName>
    <definedName name="T0.1?axis?C?ПЭ">'[12]0.1'!$L$7:$N$12,'[12]0.1'!$P$7:$R$12,'[12]0.1'!$H$7:$J$12</definedName>
    <definedName name="T0.1?axis?C?ПЭ?">'[12]0.1'!$L$5:$N$5,'[12]0.1'!$P$5:$R$5,'[12]0.1'!$H$5:$J$5</definedName>
    <definedName name="T0.1?axis?ПРД?БАЗ">'[12]0.1'!$P$7:$R$12,'[12]0.1'!$H$7:$J$12</definedName>
    <definedName name="T0.1?axis?ПФ?ПЛАН">'[12]0.1'!$P$7:$R$12,'[12]0.1'!$H$7:$J$12</definedName>
    <definedName name="T0.1?Data">'[12]0.1'!$L$7:$N$12,'[12]0.1'!$P$7:$R$12,'[12]0.1'!$H$7:$J$12</definedName>
    <definedName name="T0.1_Protect">'[12]0.1'!$M$5:$N$5,'[12]0.1'!$I$5:$J$5,'[12]0.1'!$E$5:$F$5,'[12]0.1'!$E$11:$F$11,'[12]0.1'!$I$11:$J$11,'[12]0.1'!$A$13:$IV$113,'[12]0.1'!$T$1:$AS$65536,'[12]0.1'!$Q$5:$R$5</definedName>
    <definedName name="T0?axis?ПРД?БАЗ">'[11]0 (ФСТ)'!#REF!,'[11]0 (ФСТ)'!#REF!</definedName>
    <definedName name="T0?axis?ПРД?ПРЕД">'[11]0 (ФСТ)'!#REF!,'[11]0 (ФСТ)'!#REF!</definedName>
    <definedName name="T0?axis?ПРД?РЕГ">'[11]0 (ФСТ)'!#REF!</definedName>
    <definedName name="T0?axis?ПФ?NA">'[11]0 (ФСТ)'!#REF!</definedName>
    <definedName name="T0?axis?ПФ?ПЛАН">'[11]0 (ФСТ)'!#REF!,'[11]0 (ФСТ)'!#REF!,'[11]0 (ФСТ)'!#REF!,'[11]0 (ФСТ)'!#REF!</definedName>
    <definedName name="T0?axis?ПФ?ФАКТ">'[11]0 (ФСТ)'!#REF!,'[11]0 (ФСТ)'!#REF!,'[11]0 (ФСТ)'!#REF!,'[11]0 (ФСТ)'!#REF!</definedName>
    <definedName name="T0?Data" localSheetId="1">'[11]0 (ФСТ)'!#REF!,'[11]0 (ФСТ)'!#REF!,'[11]0 (ФСТ)'!#REF!,'[11]0 (ФСТ)'!#REF!,'[11]0 (ФСТ)'!#REF!,'[11]0 (ФСТ)'!#REF!,P1_T0?Data</definedName>
    <definedName name="T0?Data" localSheetId="22">'[11]0 (ФСТ)'!#REF!,'[11]0 (ФСТ)'!#REF!,'[11]0 (ФСТ)'!#REF!,'[11]0 (ФСТ)'!#REF!,'[11]0 (ФСТ)'!#REF!,'[11]0 (ФСТ)'!#REF!,P1_T0?Data</definedName>
    <definedName name="T0?Data" localSheetId="9">'[11]0 (ФСТ)'!#REF!,'[11]0 (ФСТ)'!#REF!,'[11]0 (ФСТ)'!#REF!,'[11]0 (ФСТ)'!#REF!,'[11]0 (ФСТ)'!#REF!,'[11]0 (ФСТ)'!#REF!,P1_T0?Data</definedName>
    <definedName name="T0?Data" localSheetId="12">'[11]0 (ФСТ)'!#REF!,'[11]0 (ФСТ)'!#REF!,'[11]0 (ФСТ)'!#REF!,'[11]0 (ФСТ)'!#REF!,'[11]0 (ФСТ)'!#REF!,'[11]0 (ФСТ)'!#REF!,P1_T0?Data</definedName>
    <definedName name="T0?Data" localSheetId="28">'[11]0 (ФСТ)'!#REF!,'[11]0 (ФСТ)'!#REF!,'[11]0 (ФСТ)'!#REF!,'[11]0 (ФСТ)'!#REF!,'[11]0 (ФСТ)'!#REF!,'[11]0 (ФСТ)'!#REF!,P1_T0?Data</definedName>
    <definedName name="T0?Data" localSheetId="25">'[11]0 (ФСТ)'!#REF!,'[11]0 (ФСТ)'!#REF!,'[11]0 (ФСТ)'!#REF!,'[11]0 (ФСТ)'!#REF!,'[11]0 (ФСТ)'!#REF!,'[11]0 (ФСТ)'!#REF!,P1_T0?Data</definedName>
    <definedName name="T0?Data" localSheetId="26">'[11]0 (ФСТ)'!#REF!,'[11]0 (ФСТ)'!#REF!,'[11]0 (ФСТ)'!#REF!,'[11]0 (ФСТ)'!#REF!,'[11]0 (ФСТ)'!#REF!,'[11]0 (ФСТ)'!#REF!,P1_T0?Data</definedName>
    <definedName name="T0?Data" localSheetId="27">'[11]0 (ФСТ)'!#REF!,'[11]0 (ФСТ)'!#REF!,'[11]0 (ФСТ)'!#REF!,'[11]0 (ФСТ)'!#REF!,'[11]0 (ФСТ)'!#REF!,'[11]0 (ФСТ)'!#REF!,P1_T0?Data</definedName>
    <definedName name="T0?Data" localSheetId="13">'[11]0 (ФСТ)'!#REF!,'[11]0 (ФСТ)'!#REF!,'[11]0 (ФСТ)'!#REF!,'[11]0 (ФСТ)'!#REF!,'[11]0 (ФСТ)'!#REF!,'[11]0 (ФСТ)'!#REF!,P1_T0?Data</definedName>
    <definedName name="T0?Data">'[11]0 (ФСТ)'!#REF!,'[11]0 (ФСТ)'!#REF!,'[11]0 (ФСТ)'!#REF!,'[11]0 (ФСТ)'!#REF!,'[11]0 (ФСТ)'!#REF!,'[11]0 (ФСТ)'!#REF!,P1_T0?Data</definedName>
    <definedName name="T0?item_ext?РОСТ">'[11]0 (ФСТ)'!#REF!</definedName>
    <definedName name="T0?Name">'[11]0 (ФСТ)'!#REF!</definedName>
    <definedName name="T0?unit?МВТ">'[11]0 (ФСТ)'!#REF!,'[11]0 (ФСТ)'!#REF!</definedName>
    <definedName name="T0?unit?МКВТЧ">'[11]0 (ФСТ)'!#REF!</definedName>
    <definedName name="T0?unit?ПРЦ">'[11]0 (ФСТ)'!#REF!,'[11]0 (ФСТ)'!#REF!,'[11]0 (ФСТ)'!#REF!,'[11]0 (ФСТ)'!#REF!,'[11]0 (ФСТ)'!#REF!</definedName>
    <definedName name="T0?unit?РУБ.ГКАЛ">'[11]0 (ФСТ)'!#REF!,'[11]0 (ФСТ)'!#REF!</definedName>
    <definedName name="T0?unit?РУБ.МВТ.МЕС">'[11]0 (ФСТ)'!#REF!</definedName>
    <definedName name="T0?unit?РУБ.ТКВТЧ">'[11]0 (ФСТ)'!#REF!</definedName>
    <definedName name="T0?unit?ТГКАЛ">'[11]0 (ФСТ)'!#REF!</definedName>
    <definedName name="T0?unit?ТРУБ" localSheetId="1">'[11]0 (ФСТ)'!#REF!,'[11]0 (ФСТ)'!#REF!,'[11]0 (ФСТ)'!#REF!,P1_T0?unit?ТРУБ</definedName>
    <definedName name="T0?unit?ТРУБ" localSheetId="22">'[11]0 (ФСТ)'!#REF!,'[11]0 (ФСТ)'!#REF!,'[11]0 (ФСТ)'!#REF!,P1_T0?unit?ТРУБ</definedName>
    <definedName name="T0?unit?ТРУБ" localSheetId="9">'[11]0 (ФСТ)'!#REF!,'[11]0 (ФСТ)'!#REF!,'[11]0 (ФСТ)'!#REF!,P1_T0?unit?ТРУБ</definedName>
    <definedName name="T0?unit?ТРУБ" localSheetId="12">'[11]0 (ФСТ)'!#REF!,'[11]0 (ФСТ)'!#REF!,'[11]0 (ФСТ)'!#REF!,P1_T0?unit?ТРУБ</definedName>
    <definedName name="T0?unit?ТРУБ" localSheetId="28">'[11]0 (ФСТ)'!#REF!,'[11]0 (ФСТ)'!#REF!,'[11]0 (ФСТ)'!#REF!,P1_T0?unit?ТРУБ</definedName>
    <definedName name="T0?unit?ТРУБ" localSheetId="25">'[11]0 (ФСТ)'!#REF!,'[11]0 (ФСТ)'!#REF!,'[11]0 (ФСТ)'!#REF!,P1_T0?unit?ТРУБ</definedName>
    <definedName name="T0?unit?ТРУБ" localSheetId="26">'[11]0 (ФСТ)'!#REF!,'[11]0 (ФСТ)'!#REF!,'[11]0 (ФСТ)'!#REF!,P1_T0?unit?ТРУБ</definedName>
    <definedName name="T0?unit?ТРУБ" localSheetId="27">'[11]0 (ФСТ)'!#REF!,'[11]0 (ФСТ)'!#REF!,'[11]0 (ФСТ)'!#REF!,P1_T0?unit?ТРУБ</definedName>
    <definedName name="T0?unit?ТРУБ" localSheetId="13">'[11]0 (ФСТ)'!#REF!,'[11]0 (ФСТ)'!#REF!,'[11]0 (ФСТ)'!#REF!,P1_T0?unit?ТРУБ</definedName>
    <definedName name="T0?unit?ТРУБ">'[11]0 (ФСТ)'!#REF!,'[11]0 (ФСТ)'!#REF!,'[11]0 (ФСТ)'!#REF!,P1_T0?unit?ТРУБ</definedName>
    <definedName name="T0?unit?ЧСЛ">'[11]0 (ФСТ)'!#REF!</definedName>
    <definedName name="T0_1_Protect">'[12]0.1'!$L$5:$N$5,'[12]0.1'!$P$5:$R$5,'[12]0.1'!$I$11:$J$11,'[12]0.1'!$H$5:$J$5</definedName>
    <definedName name="T0_Protect" localSheetId="1">P2_T0_Protect,'1.План'!P3_T0_Protect</definedName>
    <definedName name="T0_Protect" localSheetId="22">P2_T0_Protect,'28.ПЛАН о Фин.сост'!P3_T0_Protect</definedName>
    <definedName name="T0_Protect" localSheetId="9">P2_T0_Protect,'4.защ лош'!P3_T0_Protect</definedName>
    <definedName name="T0_Protect" localSheetId="12">P2_T0_Protect,'5.ФОТ'!P3_T0_Protect</definedName>
    <definedName name="T0_Protect" localSheetId="28">P2_T0_Protect,Затраты!P3_T0_Protect</definedName>
    <definedName name="T0_Protect" localSheetId="25">P2_T0_Protect,'КРМД-24'!P3_T0_Protect</definedName>
    <definedName name="T0_Protect" localSheetId="26">P2_T0_Protect,'КРМД-25'!P3_T0_Protect</definedName>
    <definedName name="T0_Protect" localSheetId="27">P2_T0_Protect,'КРМД-26'!P3_T0_Protect</definedName>
    <definedName name="T0_Protect" localSheetId="13">P2_T0_Protect,'фИН РЕЗ'!P3_T0_Protect</definedName>
    <definedName name="T0_Protect">P2_T0_Protect,P3_T0_Protect</definedName>
    <definedName name="T1?axis?ПРД?БАЗ">'[12]1'!$K$6:$L$23,'[12]1'!$F$6:$G$23</definedName>
    <definedName name="T1?axis?ПРД?ПРЕД">'[12]1'!$M$6:$N$23,'[12]1'!$D$6:$E$23</definedName>
    <definedName name="T1?axis?ПФ?ПЛАН">'[12]1'!$K$6:$K$23,'[12]1'!$D$6:$D$23,'[12]1'!$M$6:$M$23,'[12]1'!$F$6:$F$23</definedName>
    <definedName name="T1?axis?ПФ?ФАКТ">'[12]1'!$L$6:$L$23,'[12]1'!$E$6:$E$23,'[12]1'!$N$6:$N$23,'[12]1'!$G$6:$G$23</definedName>
    <definedName name="T1?Data">'[12]1'!$D$14:$J$18,'[12]1'!$D$20:$J$23,'[12]1'!$K$6:$N$12,'[12]1'!$K$14:$N$18,'[12]1'!$K$20:$N$23,'[12]1'!$D$6:$J$12</definedName>
    <definedName name="T1?item_ext?НН" localSheetId="1">'[10]1'!$F$48:$M$48,'[10]1'!$F$51:$M$51,'[10]1'!$F$56:$M$56,'[10]1'!$F$59:$M$59,'[10]1'!$F$62:$M$62,'[10]1'!$F$65:$M$65,'[10]1'!$F$13:$M$13,P1_T1?item_ext?НН</definedName>
    <definedName name="T1?item_ext?НН" localSheetId="22">'[10]1'!$F$48:$M$48,'[10]1'!$F$51:$M$51,'[10]1'!$F$56:$M$56,'[10]1'!$F$59:$M$59,'[10]1'!$F$62:$M$62,'[10]1'!$F$65:$M$65,'[10]1'!$F$13:$M$13,P1_T1?item_ext?НН</definedName>
    <definedName name="T1?item_ext?НН" localSheetId="9">'[10]1'!$F$48:$M$48,'[10]1'!$F$51:$M$51,'[10]1'!$F$56:$M$56,'[10]1'!$F$59:$M$59,'[10]1'!$F$62:$M$62,'[10]1'!$F$65:$M$65,'[10]1'!$F$13:$M$13,P1_T1?item_ext?НН</definedName>
    <definedName name="T1?item_ext?НН" localSheetId="12">'[10]1'!$F$48:$M$48,'[10]1'!$F$51:$M$51,'[10]1'!$F$56:$M$56,'[10]1'!$F$59:$M$59,'[10]1'!$F$62:$M$62,'[10]1'!$F$65:$M$65,'[10]1'!$F$13:$M$13,P1_T1?item_ext?НН</definedName>
    <definedName name="T1?item_ext?НН" localSheetId="28">'[10]1'!$F$48:$M$48,'[10]1'!$F$51:$M$51,'[10]1'!$F$56:$M$56,'[10]1'!$F$59:$M$59,'[10]1'!$F$62:$M$62,'[10]1'!$F$65:$M$65,'[10]1'!$F$13:$M$13,P1_T1?item_ext?НН</definedName>
    <definedName name="T1?item_ext?НН" localSheetId="25">'[10]1'!$F$48:$M$48,'[10]1'!$F$51:$M$51,'[10]1'!$F$56:$M$56,'[10]1'!$F$59:$M$59,'[10]1'!$F$62:$M$62,'[10]1'!$F$65:$M$65,'[10]1'!$F$13:$M$13,P1_T1?item_ext?НН</definedName>
    <definedName name="T1?item_ext?НН" localSheetId="26">'[10]1'!$F$48:$M$48,'[10]1'!$F$51:$M$51,'[10]1'!$F$56:$M$56,'[10]1'!$F$59:$M$59,'[10]1'!$F$62:$M$62,'[10]1'!$F$65:$M$65,'[10]1'!$F$13:$M$13,P1_T1?item_ext?НН</definedName>
    <definedName name="T1?item_ext?НН" localSheetId="27">'[10]1'!$F$48:$M$48,'[10]1'!$F$51:$M$51,'[10]1'!$F$56:$M$56,'[10]1'!$F$59:$M$59,'[10]1'!$F$62:$M$62,'[10]1'!$F$65:$M$65,'[10]1'!$F$13:$M$13,P1_T1?item_ext?НН</definedName>
    <definedName name="T1?item_ext?НН" localSheetId="13">'[10]1'!$F$48:$M$48,'[10]1'!$F$51:$M$51,'[10]1'!$F$56:$M$56,'[10]1'!$F$59:$M$59,'[10]1'!$F$62:$M$62,'[10]1'!$F$65:$M$65,'[10]1'!$F$13:$M$13,P1_T1?item_ext?НН</definedName>
    <definedName name="T1?item_ext?НН">'[10]1'!$F$48:$M$48,'[10]1'!$F$51:$M$51,'[10]1'!$F$56:$M$56,'[10]1'!$F$59:$M$59,'[10]1'!$F$62:$M$62,'[10]1'!$F$65:$M$65,'[10]1'!$F$13:$M$13,P1_T1?item_ext?НН</definedName>
    <definedName name="T1?item_ext?СН2" localSheetId="1">'[10]1'!$F$47:$M$47,'[10]1'!$F$50:$M$50,'[10]1'!$F$55:$M$55,'[10]1'!$F$58:$M$58,'[10]1'!$F$61:$M$61,'[10]1'!$F$64:$M$64,'[10]1'!$F$12:$M$12,P1_T1?item_ext?СН2</definedName>
    <definedName name="T1?item_ext?СН2" localSheetId="22">'[10]1'!$F$47:$M$47,'[10]1'!$F$50:$M$50,'[10]1'!$F$55:$M$55,'[10]1'!$F$58:$M$58,'[10]1'!$F$61:$M$61,'[10]1'!$F$64:$M$64,'[10]1'!$F$12:$M$12,P1_T1?item_ext?СН2</definedName>
    <definedName name="T1?item_ext?СН2" localSheetId="9">'[10]1'!$F$47:$M$47,'[10]1'!$F$50:$M$50,'[10]1'!$F$55:$M$55,'[10]1'!$F$58:$M$58,'[10]1'!$F$61:$M$61,'[10]1'!$F$64:$M$64,'[10]1'!$F$12:$M$12,P1_T1?item_ext?СН2</definedName>
    <definedName name="T1?item_ext?СН2" localSheetId="12">'[10]1'!$F$47:$M$47,'[10]1'!$F$50:$M$50,'[10]1'!$F$55:$M$55,'[10]1'!$F$58:$M$58,'[10]1'!$F$61:$M$61,'[10]1'!$F$64:$M$64,'[10]1'!$F$12:$M$12,P1_T1?item_ext?СН2</definedName>
    <definedName name="T1?item_ext?СН2" localSheetId="28">'[10]1'!$F$47:$M$47,'[10]1'!$F$50:$M$50,'[10]1'!$F$55:$M$55,'[10]1'!$F$58:$M$58,'[10]1'!$F$61:$M$61,'[10]1'!$F$64:$M$64,'[10]1'!$F$12:$M$12,P1_T1?item_ext?СН2</definedName>
    <definedName name="T1?item_ext?СН2" localSheetId="25">'[10]1'!$F$47:$M$47,'[10]1'!$F$50:$M$50,'[10]1'!$F$55:$M$55,'[10]1'!$F$58:$M$58,'[10]1'!$F$61:$M$61,'[10]1'!$F$64:$M$64,'[10]1'!$F$12:$M$12,P1_T1?item_ext?СН2</definedName>
    <definedName name="T1?item_ext?СН2" localSheetId="26">'[10]1'!$F$47:$M$47,'[10]1'!$F$50:$M$50,'[10]1'!$F$55:$M$55,'[10]1'!$F$58:$M$58,'[10]1'!$F$61:$M$61,'[10]1'!$F$64:$M$64,'[10]1'!$F$12:$M$12,P1_T1?item_ext?СН2</definedName>
    <definedName name="T1?item_ext?СН2" localSheetId="27">'[10]1'!$F$47:$M$47,'[10]1'!$F$50:$M$50,'[10]1'!$F$55:$M$55,'[10]1'!$F$58:$M$58,'[10]1'!$F$61:$M$61,'[10]1'!$F$64:$M$64,'[10]1'!$F$12:$M$12,P1_T1?item_ext?СН2</definedName>
    <definedName name="T1?item_ext?СН2" localSheetId="13">'[10]1'!$F$47:$M$47,'[10]1'!$F$50:$M$50,'[10]1'!$F$55:$M$55,'[10]1'!$F$58:$M$58,'[10]1'!$F$61:$M$61,'[10]1'!$F$64:$M$64,'[10]1'!$F$12:$M$12,P1_T1?item_ext?СН2</definedName>
    <definedName name="T1?item_ext?СН2">'[10]1'!$F$47:$M$47,'[10]1'!$F$50:$M$50,'[10]1'!$F$55:$M$55,'[10]1'!$F$58:$M$58,'[10]1'!$F$61:$M$61,'[10]1'!$F$64:$M$64,'[10]1'!$F$12:$M$12,P1_T1?item_ext?СН2</definedName>
    <definedName name="T1?unit?КОП.КВТЧ">'[10]1'!$J$8:$J$66,'[10]1'!$F$8:$G$66</definedName>
    <definedName name="T1?unit?МКВТЧ">'[10]1'!$K$9:$K$66,'[10]1'!$H$9:$H$66</definedName>
    <definedName name="T1?unit?МРУБ">'[10]1'!$L$9:$M$66,'[10]1'!$I$9:$I$66</definedName>
    <definedName name="T1_Protect">'[12]1'!$D$20:$G$22,'[12]1'!$H$5:$J$5,'[12]1'!$I$6:$J$12,'[12]1'!$I$14:$J$18,'[12]1'!$I$20:$J$22,'[12]1'!$D$6:$G$12,'[12]1'!$A$24:$IV$123,'[12]1'!$W$1:$AW$65536,'[12]1'!$D$14:$G$18</definedName>
    <definedName name="T10?axis?ПРД?БАЗ">'[12]10'!$L$6:$M$43,'[12]10'!$I$6:$J$43</definedName>
    <definedName name="T10?axis?ПРД?ПРЕД">'[12]10'!$N$6:$O$43,'[12]10'!$G$6:$H$43</definedName>
    <definedName name="T10?axis?ПФ?ПЛАН">'[12]10'!$L$6:$L$43,'[12]10'!$G$6:$G$43,'[12]10'!$N$6:$N$43,'[12]10'!$I$6:$I$43</definedName>
    <definedName name="T10?axis?ПФ?ФАКТ">'[12]10'!$M$6:$M$43,'[12]10'!$H$6:$H$43,'[12]10'!$O$6:$O$43,'[12]10'!$J$6:$J$43</definedName>
    <definedName name="T10_Protect">'[12]10'!$G$7:$K$41,'[12]10'!$B$22:$B$41,'[12]10'!$A$44:$IV$144,'[12]10'!$P$1:$AS$65536,'[12]10'!$C$7:$C$41</definedName>
    <definedName name="T11?axis?ПРД?БАЗ">'[12]11 (Н)'!$K$6:$L$140,'[12]11 (Н)'!$H$6:$I$140</definedName>
    <definedName name="T11?axis?ПРД?ПРЕД">'[12]11 (Н)'!$M$6:$N$140,'[12]11 (Н)'!$F$6:$G$140</definedName>
    <definedName name="T11?axis?ПФ?ПЛАН">'[12]11 (Н)'!$K$6:$K$140,'[12]11 (Н)'!$F$6:$F$140,'[12]11 (Н)'!$M$6:$M$140,'[12]11 (Н)'!$H$6:$H$140</definedName>
    <definedName name="T11?axis?ПФ?ФАКТ">'[12]11 (Н)'!$L$6:$L$140,'[12]11 (Н)'!$G$6:$G$140,'[12]11 (Н)'!$N$6:$N$140,'[12]11 (Н)'!$I$6:$I$140</definedName>
    <definedName name="T11?Data">'[12]11 (Н)'!$F$140:$N$140,'[12]11 (Н)'!$F$6:$N$138</definedName>
    <definedName name="T11_Protect">'[12]11 (Н)'!$F$6:$J$138,'[12]11 (Н)'!$B$57:$B$138,'[12]11 (Н)'!$A$141:$IV$232,'[12]11 (Н)'!$O$1:$AR$65536,'[12]11 (Н)'!$C$6:$C$138</definedName>
    <definedName name="T12?axis?ПРД?БАЗ">'[12]12'!$J$6:$K$20,'[12]12'!$G$6:$H$20</definedName>
    <definedName name="T12?axis?ПРД?ПРЕД">'[12]12'!$L$6:$M$20,'[12]12'!$E$6:$F$20</definedName>
    <definedName name="T12?axis?ПФ?ПЛАН">'[12]12'!$J$6:$J$20,'[12]12'!$E$6:$E$20,'[12]12'!$L$6:$L$20,'[12]12'!$G$6:$G$20</definedName>
    <definedName name="T12?axis?ПФ?ФАКТ">'[12]12'!$K$6:$K$20,'[12]12'!$F$6:$F$20,'[12]12'!$M$6:$M$20,'[12]12'!$H$6:$H$20</definedName>
    <definedName name="T12?Data">'[12]12'!$B$15,'[12]12'!$E$13:$M$18,'[12]12'!$E$20:$M$20,'[12]12'!$B$13,'[12]12'!$B$17,'[12]12'!$E$6:$M$11</definedName>
    <definedName name="T12?L3.1.x">'[12]12'!$E$16:$M$16,'[12]12'!$E$18:$M$18,'[12]12'!$E$14:$M$14</definedName>
    <definedName name="T12?L3.x">'[12]12'!$E$15:$M$15,'[12]12'!$E$17:$M$17,'[12]12'!$E$13:$M$13</definedName>
    <definedName name="T12?unit?ГА">'[12]12'!$E$16:$I$16,'[12]12'!$E$11:$I$11,'[12]12'!$E$14:$I$14,'[12]12'!$E$18:$I$18,'[12]12'!$E$7:$I$7</definedName>
    <definedName name="T12?unit?ТРУБ">'[12]12'!$E$15:$I$15,'[12]12'!$E$6:$I$6,'[12]12'!$E$13:$I$13,'[12]12'!$E$17:$I$17,'[12]12'!$E$20:$I$20,'[12]12'!$E$8:$I$10</definedName>
    <definedName name="T12_Protect">'[12]12'!$B$13:$B$18,'[12]12'!$E$13:$I$18,'[12]12'!$A$21:$IV$120,'[12]12'!$N$1:$AQ$65536,'[12]12'!$E$6:$I$9</definedName>
    <definedName name="T13?axis?ПРД?БАЗ">'[12]13'!$L$6:$M$36,'[12]13'!$I$6:$J$36</definedName>
    <definedName name="T13?axis?ПРД?ПРЕД">'[12]13'!$G$6:$H$36,'[12]13'!$N$6:$O$36</definedName>
    <definedName name="T13?axis?ПФ?ПЛАН">'[12]13'!$N$6:$N$36,'[12]13'!$I$6:$I$36,'[12]13'!$G$6:$G$36,'[12]13'!$L$6:$L$36</definedName>
    <definedName name="T13?axis?ПФ?ФАКТ">'[12]13'!$O$6:$O$36,'[12]13'!$J$6:$J$36,'[12]13'!$H$6:$H$36,'[12]13'!$M$6:$M$36</definedName>
    <definedName name="T13?L1.1">'[12]13'!$G$6:$O$6,'[12]13'!$G$26:$O$26,'[12]13'!$G$16:$O$16</definedName>
    <definedName name="T13?L1.2">'[12]13'!$G$27:$O$27,'[12]13'!$G$17:$O$17,'[12]13'!$G$7:$O$7</definedName>
    <definedName name="T13?L2">'[12]13'!$G$8:$O$8,'[12]13'!$G$28:$O$28,'[12]13'!$G$18:$O$18</definedName>
    <definedName name="T13?L2.1">'[12]13'!$G$9:$O$9,'[12]13'!$G$29:$O$29,'[12]13'!$G$19:$O$19</definedName>
    <definedName name="T13?L2.1.1">'[12]13'!$G$10:$O$10,'[12]13'!$G$30:$O$30,'[12]13'!$G$20:$O$20</definedName>
    <definedName name="T13?L2.1.2">'[12]13'!$G$11:$O$11,'[12]13'!$G$31:$O$31,'[12]13'!$G$21:$O$21</definedName>
    <definedName name="T13?L2.2">'[12]13'!$G$12:$O$12,'[12]13'!$G$32:$O$32,'[12]13'!$G$22:$O$22</definedName>
    <definedName name="T13?L2.2.1">'[12]13'!$G$13:$O$13,'[12]13'!$G$33:$O$33,'[12]13'!$G$23:$O$23</definedName>
    <definedName name="T13?L2.2.2">'[12]13'!$G$14:$O$14,'[12]13'!$G$34:$O$34,'[12]13'!$G$24:$O$24</definedName>
    <definedName name="T13?L4">'[12]13'!$G$15:$O$15,'[12]13'!$G$35:$O$35,'[12]13'!$G$25:$O$25</definedName>
    <definedName name="T13?unit?МКВТЧ">'[12]13'!$G$16:$K$16,'[12]13'!$G$26:$K$26,'[12]13'!$G$6:$K$6</definedName>
    <definedName name="T13?unit?РУБ.ТМКБ">'[12]13'!$G$14:$K$14,'[12]13'!$G$21:$K$21,'[12]13'!$G$24:$K$24,'[12]13'!$G$31:$K$31,'[12]13'!$G$34:$K$34,'[12]13'!$G$11:$K$11</definedName>
    <definedName name="T13?unit?ТГКАЛ">'[12]13'!$G$17:$K$17,'[12]13'!$G$27:$K$27,'[12]13'!$G$7:$K$7</definedName>
    <definedName name="T13?unit?ТМКБ">'[12]13'!$G$13:$K$13,'[12]13'!$G$20:$K$20,'[12]13'!$G$23:$K$23,'[12]13'!$G$30:$K$30,'[12]13'!$G$33:$K$33,'[12]13'!$G$10:$K$10</definedName>
    <definedName name="T13?unit?ТРУБ" localSheetId="1">'[12]13'!$G$8:$K$9,P1_T13?unit?ТРУБ</definedName>
    <definedName name="T13?unit?ТРУБ" localSheetId="22">'[12]13'!$G$8:$K$9,P1_T13?unit?ТРУБ</definedName>
    <definedName name="T13?unit?ТРУБ" localSheetId="9">'[12]13'!$G$8:$K$9,P1_T13?unit?ТРУБ</definedName>
    <definedName name="T13?unit?ТРУБ" localSheetId="12">'[12]13'!$G$8:$K$9,P1_T13?unit?ТРУБ</definedName>
    <definedName name="T13?unit?ТРУБ" localSheetId="28">'[12]13'!$G$8:$K$9,P1_T13?unit?ТРУБ</definedName>
    <definedName name="T13?unit?ТРУБ" localSheetId="25">'[12]13'!$G$8:$K$9,P1_T13?unit?ТРУБ</definedName>
    <definedName name="T13?unit?ТРУБ" localSheetId="26">'[12]13'!$G$8:$K$9,P1_T13?unit?ТРУБ</definedName>
    <definedName name="T13?unit?ТРУБ" localSheetId="27">'[12]13'!$G$8:$K$9,P1_T13?unit?ТРУБ</definedName>
    <definedName name="T13?unit?ТРУБ" localSheetId="13">'[12]13'!$G$8:$K$9,P1_T13?unit?ТРУБ</definedName>
    <definedName name="T13?unit?ТРУБ">'[12]13'!$G$8:$K$9,P1_T13?unit?ТРУБ</definedName>
    <definedName name="T13_Protect">'[12]13'!$G$20:$K$35,'[12]13'!$A$37:$IV$136,'[12]13'!$P$1:$AS$65536,'[12]13'!$C$16:$C$35</definedName>
    <definedName name="T14?axis?ПРД?БАЗ">'[12]14'!$J$6:$K$20,'[12]14'!$G$6:$H$20</definedName>
    <definedName name="T14?axis?ПРД?ПРЕД">'[12]14'!$L$6:$M$20,'[12]14'!$E$6:$F$20</definedName>
    <definedName name="T14?axis?ПФ?ПЛАН">'[12]14'!$G$6:$G$20,'[12]14'!$J$6:$J$20,'[12]14'!$L$6:$L$20,'[12]14'!$E$6:$E$20</definedName>
    <definedName name="T14?axis?ПФ?ФАКТ">'[12]14'!$H$6:$H$20,'[12]14'!$K$6:$K$20,'[12]14'!$M$6:$M$20,'[12]14'!$F$6:$F$20</definedName>
    <definedName name="T14?Data">'[12]14'!$B$13,'[12]14'!$E$20:$M$20,'[12]14'!$B$7,'[12]14'!$B$10,'[12]14'!$B$16,'[12]14'!$E$7:$M$18</definedName>
    <definedName name="T14?L1">'[12]14'!$E$13:$M$13,'[12]14'!$E$10:$M$10,'[12]14'!$E$16:$M$16,'[12]14'!$E$7:$M$7</definedName>
    <definedName name="T14?L1.1">'[12]14'!$E$14:$M$14,'[12]14'!$E$11:$M$11,'[12]14'!$E$17:$M$17,'[12]14'!$E$8:$M$8</definedName>
    <definedName name="T14?L1.2">'[12]14'!$E$15:$M$15,'[12]14'!$E$12:$M$12,'[12]14'!$E$18:$M$18,'[12]14'!$E$9:$M$9</definedName>
    <definedName name="T14?unit?ПРЦ">'[12]14'!$E$15:$I$15,'[12]14'!$E$9:$I$9,'[12]14'!$E$18:$I$18,'[12]14'!$J$6:$M$20,'[12]14'!$E$12:$I$12</definedName>
    <definedName name="T14?unit?ТРУБ">'[12]14'!$E$13:$I$14,'[12]14'!$E$7:$I$8,'[12]14'!$E$16:$I$17,'[12]14'!$E$20:$I$20,'[12]14'!$E$10:$I$11</definedName>
    <definedName name="T14_Protect">'[12]14'!$E$7:$I$18,'[12]14'!$A$21:$IV$120,'[12]14'!$N$1:$AQ$65536,'[12]14'!$B$7:$B$18</definedName>
    <definedName name="T15?axis?ПРД?БАЗ">'[12]15'!$I$6:$J$11,'[12]15'!$F$6:$G$11</definedName>
    <definedName name="T15?axis?ПРД?ПРЕД">'[12]15'!$K$6:$L$11,'[12]15'!$D$6:$E$11</definedName>
    <definedName name="T15?axis?ПФ?ПЛАН">'[12]15'!$I$6:$I$11,'[12]15'!$D$6:$D$11,'[12]15'!$K$6:$K$11,'[12]15'!$F$6:$F$11</definedName>
    <definedName name="T15?axis?ПФ?ФАКТ">'[12]15'!$J$6:$J$11,'[12]15'!$E$6:$E$11,'[12]15'!$L$6:$L$11,'[12]15'!$G$6:$G$11</definedName>
    <definedName name="T15_Protect">'[12]15'!$A$12:$IV$111,'[12]15'!$M$1:$AP$65536,'[12]15'!$D$6:$H$10</definedName>
    <definedName name="T16?axis?ПРД?БАЗ">'[12]16'!$M$6:$N$62,'[12]16'!$J$6:$K$62</definedName>
    <definedName name="T16?axis?ПРД?ПРЕД">'[12]16'!$O$6:$P$62,'[12]16'!$H$6:$I$62</definedName>
    <definedName name="T16?axis?ПФ?ПЛАН">'[12]16'!$M$6:$M$62,'[12]16'!$H$6:$H$62,'[12]16'!$O$6:$O$62,'[12]16'!$J$6:$J$62</definedName>
    <definedName name="T16?axis?ПФ?ФАКТ">'[12]16'!$N$6:$N$62,'[12]16'!$I$6:$I$62,'[12]16'!$P$6:$P$62,'[12]16'!$K$6:$K$62</definedName>
    <definedName name="T16?Data">'[12]16'!$H$62:$P$62,'[12]16'!$H$6:$P$58</definedName>
    <definedName name="T16?item_ext?ЧЕЛ" localSheetId="1">'[12]16'!$H$56:$L$56,'[12]16'!$H$11:$L$11,P1_T16?item_ext?ЧЕЛ,P2_T16?item_ext?ЧЕЛ</definedName>
    <definedName name="T16?item_ext?ЧЕЛ" localSheetId="22">'[12]16'!$H$56:$L$56,'[12]16'!$H$11:$L$11,P1_T16?item_ext?ЧЕЛ,P2_T16?item_ext?ЧЕЛ</definedName>
    <definedName name="T16?item_ext?ЧЕЛ" localSheetId="9">'[12]16'!$H$56:$L$56,'[12]16'!$H$11:$L$11,P1_T16?item_ext?ЧЕЛ,P2_T16?item_ext?ЧЕЛ</definedName>
    <definedName name="T16?item_ext?ЧЕЛ" localSheetId="12">'[12]16'!$H$56:$L$56,'[12]16'!$H$11:$L$11,P1_T16?item_ext?ЧЕЛ,P2_T16?item_ext?ЧЕЛ</definedName>
    <definedName name="T16?item_ext?ЧЕЛ" localSheetId="28">'[12]16'!$H$56:$L$56,'[12]16'!$H$11:$L$11,P1_T16?item_ext?ЧЕЛ,P2_T16?item_ext?ЧЕЛ</definedName>
    <definedName name="T16?item_ext?ЧЕЛ" localSheetId="25">'[12]16'!$H$56:$L$56,'[12]16'!$H$11:$L$11,P1_T16?item_ext?ЧЕЛ,P2_T16?item_ext?ЧЕЛ</definedName>
    <definedName name="T16?item_ext?ЧЕЛ" localSheetId="26">'[12]16'!$H$56:$L$56,'[12]16'!$H$11:$L$11,P1_T16?item_ext?ЧЕЛ,P2_T16?item_ext?ЧЕЛ</definedName>
    <definedName name="T16?item_ext?ЧЕЛ" localSheetId="27">'[12]16'!$H$56:$L$56,'[12]16'!$H$11:$L$11,P1_T16?item_ext?ЧЕЛ,P2_T16?item_ext?ЧЕЛ</definedName>
    <definedName name="T16?item_ext?ЧЕЛ" localSheetId="13">'[12]16'!$H$56:$L$56,'[12]16'!$H$11:$L$11,P1_T16?item_ext?ЧЕЛ,P2_T16?item_ext?ЧЕЛ</definedName>
    <definedName name="T16?item_ext?ЧЕЛ">'[12]16'!$H$56:$L$56,'[12]16'!$H$11:$L$11,P1_T16?item_ext?ЧЕЛ,P2_T16?item_ext?ЧЕЛ</definedName>
    <definedName name="T16?unit?ТРУБ" localSheetId="1">P1_T16?unit?ТРУБ,P2_T16?unit?ТРУБ,P3_T16?unit?ТРУБ</definedName>
    <definedName name="T16?unit?ТРУБ" localSheetId="22">P1_T16?unit?ТРУБ,P2_T16?unit?ТРУБ,P3_T16?unit?ТРУБ</definedName>
    <definedName name="T16?unit?ТРУБ" localSheetId="9">P1_T16?unit?ТРУБ,P2_T16?unit?ТРУБ,P3_T16?unit?ТРУБ</definedName>
    <definedName name="T16?unit?ТРУБ" localSheetId="12">P1_T16?unit?ТРУБ,P2_T16?unit?ТРУБ,P3_T16?unit?ТРУБ</definedName>
    <definedName name="T16?unit?ТРУБ" localSheetId="28">P1_T16?unit?ТРУБ,P2_T16?unit?ТРУБ,P3_T16?unit?ТРУБ</definedName>
    <definedName name="T16?unit?ТРУБ" localSheetId="25">P1_T16?unit?ТРУБ,P2_T16?unit?ТРУБ,P3_T16?unit?ТРУБ</definedName>
    <definedName name="T16?unit?ТРУБ" localSheetId="26">P1_T16?unit?ТРУБ,P2_T16?unit?ТРУБ,P3_T16?unit?ТРУБ</definedName>
    <definedName name="T16?unit?ТРУБ" localSheetId="27">P1_T16?unit?ТРУБ,P2_T16?unit?ТРУБ,P3_T16?unit?ТРУБ</definedName>
    <definedName name="T16?unit?ТРУБ" localSheetId="13">P1_T16?unit?ТРУБ,P2_T16?unit?ТРУБ,P3_T16?unit?ТРУБ</definedName>
    <definedName name="T16?unit?ТРУБ">P1_T16?unit?ТРУБ,P2_T16?unit?ТРУБ,P3_T16?unit?ТРУБ</definedName>
    <definedName name="T16?unit?ЧЕЛ" localSheetId="1">'[12]16'!$H$56:$L$56,'[12]16'!$H$11:$L$11,P1_T16?unit?ЧЕЛ,P2_T16?unit?ЧЕЛ</definedName>
    <definedName name="T16?unit?ЧЕЛ" localSheetId="22">'[12]16'!$H$56:$L$56,'[12]16'!$H$11:$L$11,P1_T16?unit?ЧЕЛ,P2_T16?unit?ЧЕЛ</definedName>
    <definedName name="T16?unit?ЧЕЛ" localSheetId="9">'[12]16'!$H$56:$L$56,'[12]16'!$H$11:$L$11,P1_T16?unit?ЧЕЛ,P2_T16?unit?ЧЕЛ</definedName>
    <definedName name="T16?unit?ЧЕЛ" localSheetId="12">'[12]16'!$H$56:$L$56,'[12]16'!$H$11:$L$11,P1_T16?unit?ЧЕЛ,P2_T16?unit?ЧЕЛ</definedName>
    <definedName name="T16?unit?ЧЕЛ" localSheetId="28">'[12]16'!$H$56:$L$56,'[12]16'!$H$11:$L$11,P1_T16?unit?ЧЕЛ,P2_T16?unit?ЧЕЛ</definedName>
    <definedName name="T16?unit?ЧЕЛ" localSheetId="25">'[12]16'!$H$56:$L$56,'[12]16'!$H$11:$L$11,P1_T16?unit?ЧЕЛ,P2_T16?unit?ЧЕЛ</definedName>
    <definedName name="T16?unit?ЧЕЛ" localSheetId="26">'[12]16'!$H$56:$L$56,'[12]16'!$H$11:$L$11,P1_T16?unit?ЧЕЛ,P2_T16?unit?ЧЕЛ</definedName>
    <definedName name="T16?unit?ЧЕЛ" localSheetId="27">'[12]16'!$H$56:$L$56,'[12]16'!$H$11:$L$11,P1_T16?unit?ЧЕЛ,P2_T16?unit?ЧЕЛ</definedName>
    <definedName name="T16?unit?ЧЕЛ" localSheetId="13">'[12]16'!$H$56:$L$56,'[12]16'!$H$11:$L$11,P1_T16?unit?ЧЕЛ,P2_T16?unit?ЧЕЛ</definedName>
    <definedName name="T16?unit?ЧЕЛ">'[12]16'!$H$56:$L$56,'[12]16'!$H$11:$L$11,P1_T16?unit?ЧЕЛ,P2_T16?unit?ЧЕЛ</definedName>
    <definedName name="T16_Protect">'[12]16'!$H$8:$L$58,'[12]16'!$A$63:$IV$162,'[12]16'!$Q$1:$AT$65536,'[12]16'!$A$6:$C$59</definedName>
    <definedName name="T17.1?axis?C?НП">'[12]17.1'!$D$6:$M$19,'[12]17.1'!$D$21:$M$34</definedName>
    <definedName name="T17.1?axis?R?ВРАС">'[12]17.1'!$D$30:$O$32,'[12]17.1'!$D$15:$O$17</definedName>
    <definedName name="T17.1?axis?R?ВРАС?">'[12]17.1'!$B$30:$B$32,'[12]17.1'!$B$15:$B$17</definedName>
    <definedName name="T17.1?Data">'[12]17.1'!$D$21:$M$34,'[12]17.1'!$O$6:$O$8,'[12]17.1'!$O$10,'[12]17.1'!$O$12,'[12]17.1'!$O$14:$O$19,'[12]17.1'!$O$21:$O$23,'[12]17.1'!$O$25,'[12]17.1'!$O$27,'[12]17.1'!$O$29:$O$34,'[12]17.1'!$D$5:$M$19</definedName>
    <definedName name="T17.1?item_ext?ВСЕГО">'[12]17.1'!$O$6:$O$19,'[12]17.1'!$O$21:$O$34</definedName>
    <definedName name="T17.1?L1">'[12]17.1'!$A$6:$O$6,'[12]17.1'!$A$21:$O$21</definedName>
    <definedName name="T17.1?L2">'[12]17.1'!$A$7:$O$7,'[12]17.1'!$A$22:$O$22</definedName>
    <definedName name="T17.1?L3">'[12]17.1'!$A$8:$O$8,'[12]17.1'!$A$23:$O$23</definedName>
    <definedName name="T17.1?L3.1">'[12]17.1'!$A$9:$O$9,'[12]17.1'!$A$24:$O$24</definedName>
    <definedName name="T17.1?L4">'[12]17.1'!$A$10:$O$10,'[12]17.1'!$A$25:$O$25</definedName>
    <definedName name="T17.1?L4.1">'[12]17.1'!$A$11:$O$11,'[12]17.1'!$A$26:$O$26</definedName>
    <definedName name="T17.1?L5">'[12]17.1'!$A$12:$O$12,'[12]17.1'!$A$27:$O$27</definedName>
    <definedName name="T17.1?L5.1">'[12]17.1'!$A$13:$O$13,'[12]17.1'!$A$28:$O$28</definedName>
    <definedName name="T17.1?L6">'[12]17.1'!$A$14:$O$14,'[12]17.1'!$A$29:$O$29</definedName>
    <definedName name="T17.1?L7">'[12]17.1'!$D$30:$O$32,'[12]17.1'!$D$15:$O$17</definedName>
    <definedName name="T17.1?L8">'[12]17.1'!$A$19:$O$19,'[12]17.1'!$A$34:$O$34</definedName>
    <definedName name="T17.1?unit?РУБ">'[12]17.1'!$D$9:$O$9,'[12]17.1'!$D$11:$O$11,'[12]17.1'!$D$13:$O$13,'[12]17.1'!$D$24:$O$24,'[12]17.1'!$D$26:$O$26,'[12]17.1'!$D$28:$O$28</definedName>
    <definedName name="T17.1?unit?ТРУБ">'[12]17.1'!$D$8:$O$8,'[12]17.1'!$D$10:$O$10,'[12]17.1'!$D$12:$O$12,'[12]17.1'!$D$14:$O$19,'[12]17.1'!$D$23:$O$23,'[12]17.1'!$D$25:$O$25,'[12]17.1'!$D$27:$O$27,'[12]17.1'!$D$29:$O$34</definedName>
    <definedName name="T17.1?unit?ЧДН">'[12]17.1'!$D$7:$O$7,'[12]17.1'!$D$22:$O$22</definedName>
    <definedName name="T17.1?unit?ЧЕЛ">'[12]17.1'!$D$21:$O$21,'[12]17.1'!$D$6:$O$6</definedName>
    <definedName name="T17.1_Protect" localSheetId="1">'[12]17.1'!$P$1:$AP$65536,'[12]17.1'!$D$9:$M$11,P1_T17.1_Protect</definedName>
    <definedName name="T17.1_Protect" localSheetId="22">'[12]17.1'!$P$1:$AP$65536,'[12]17.1'!$D$9:$M$11,P1_T17.1_Protect</definedName>
    <definedName name="T17.1_Protect" localSheetId="9">'[12]17.1'!$P$1:$AP$65536,'[12]17.1'!$D$9:$M$11,P1_T17.1_Protect</definedName>
    <definedName name="T17.1_Protect" localSheetId="12">'[12]17.1'!$P$1:$AP$65536,'[12]17.1'!$D$9:$M$11,P1_T17.1_Protect</definedName>
    <definedName name="T17.1_Protect" localSheetId="28">'[12]17.1'!$P$1:$AP$65536,'[12]17.1'!$D$9:$M$11,P1_T17.1_Protect</definedName>
    <definedName name="T17.1_Protect" localSheetId="25">'[12]17.1'!$P$1:$AP$65536,'[12]17.1'!$D$9:$M$11,P1_T17.1_Protect</definedName>
    <definedName name="T17.1_Protect" localSheetId="26">'[12]17.1'!$P$1:$AP$65536,'[12]17.1'!$D$9:$M$11,P1_T17.1_Protect</definedName>
    <definedName name="T17.1_Protect" localSheetId="27">'[12]17.1'!$P$1:$AP$65536,'[12]17.1'!$D$9:$M$11,P1_T17.1_Protect</definedName>
    <definedName name="T17.1_Protect" localSheetId="13">'[12]17.1'!$P$1:$AP$65536,'[12]17.1'!$D$9:$M$11,P1_T17.1_Protect</definedName>
    <definedName name="T17.1_Protect">'[12]17.1'!$P$1:$AP$65536,'[12]17.1'!$D$9:$M$11,P1_T17.1_Protect</definedName>
    <definedName name="T17?axis?ПРД?БАЗ">'[12]17'!$I$6:$J$17,'[12]17'!$F$6:$G$17</definedName>
    <definedName name="T17?axis?ПРД?ПРЕД">'[12]17'!$K$6:$L$17,'[12]17'!$D$6:$E$17</definedName>
    <definedName name="T17?axis?ПФ?ПЛАН">'[12]17'!$I$6:$I$17,'[12]17'!$D$6:$D$17,'[12]17'!$K$6:$K$17,'[12]17'!$F$6:$F$17</definedName>
    <definedName name="T17?axis?ПФ?ФАКТ">'[12]17'!$J$6:$J$17,'[12]17'!$E$6:$E$17,'[12]17'!$L$6:$L$17,'[12]17'!$G$6:$G$17</definedName>
    <definedName name="T17?Data">'[12]17'!$D$17:$L$17,'[12]17'!$D$6:$L$15</definedName>
    <definedName name="T17_1_Protect">'[12]17.1'!$D$9:$M$11,'[12]17.1'!$D$13:$M$17,'[12]17.1'!$D$21:$M$22,'[12]17.1'!$D$24:$M$26,'[12]17.1'!$D$28:$M$32,'[12]17.1'!$B$15:$B$17,'[12]17.1'!$B$30:$B$32,'[12]17.1'!$D$5:$M$7</definedName>
    <definedName name="T17_Protect">'[12]17'!$D$6:$H$15,'[12]17'!$A$18:$IV$117,'[12]17'!$M$1:$AP$65536,'[12]17'!$B$12:$B$15</definedName>
    <definedName name="T18?axis?ПРД?БАЗ">'[12]18'!$L$6:$M$43,'[12]18'!$I$6:$J$43</definedName>
    <definedName name="T18?axis?ПРД?ПРЕД">'[12]18'!$N$6:$O$43,'[12]18'!$G$6:$H$43</definedName>
    <definedName name="T18?axis?ПФ?ПЛАН">'[12]18'!$L$6:$L$43,'[12]18'!$G$6:$G$43,'[12]18'!$N$6:$N$43,'[12]18'!$I$6:$I$43</definedName>
    <definedName name="T18?axis?ПФ?ФАКТ">'[12]18'!$M$6:$M$43,'[12]18'!$H$6:$H$43,'[12]18'!$O$6:$O$43,'[12]18'!$J$6:$J$43</definedName>
    <definedName name="T18?Data">'[12]18'!$G$43:$O$43,'[12]18'!$G$6:$O$40</definedName>
    <definedName name="T18_Protect">'[12]18'!$B$6:$C$41,'[12]18'!$A$44:$IV$143,'[12]18'!$P$1:$AS$65536,'[12]18'!$G$6:$K$41</definedName>
    <definedName name="T19?axis?ПРД?БАЗ">'[12]19'!$L$6:$M$26,'[12]19'!$I$6:$J$26</definedName>
    <definedName name="T19?axis?ПРД?ПРЕД">'[12]19'!$N$6:$O$26,'[12]19'!$G$6:$H$26</definedName>
    <definedName name="T19?axis?ПФ?ПЛАН">'[12]19'!$L$6:$L$26,'[12]19'!$G$6:$G$26,'[12]19'!$N$6:$N$26,'[12]19'!$I$6:$I$26</definedName>
    <definedName name="T19?axis?ПФ?ФАКТ">'[12]19'!$M$6:$M$26,'[12]19'!$H$6:$H$26,'[12]19'!$O$6:$O$26,'[12]19'!$J$6:$J$26</definedName>
    <definedName name="T19?L1.x">'[12]19'!$G$20:$O$22,'[12]19'!$G$8:$O$10</definedName>
    <definedName name="T19_Protect">'[12]19'!$G$6:$K$23,'[12]19'!$A$27:$IV$126,'[12]19'!$P$1:$AS$65536,'[12]19'!$A$6:$C$23</definedName>
    <definedName name="T2.1?axis?R?ВТОП">'[12]2.1'!$E$49:$K$62,'[12]2.1'!$E$65:$K$78,'[12]2.1'!$E$81:$K$93,'[12]2.1'!$E$96:$K$109,'[12]2.1'!$E$112:$K$126,'[12]2.1'!$E$130:$K$143,'[12]2.1'!$E$146:$K$158,'[12]2.1'!$E$162:$K$174</definedName>
    <definedName name="T2.1?axis?R?ВТОП?">'[12]2.1'!$C$178:$C$190,'[12]2.1'!$C$162:$C$174,'[12]2.1'!$C$146:$C$158,'[12]2.1'!$C$130:$C$143,'[12]2.1'!$C$112:$C$126,'[12]2.1'!$C$96:$C$109,'[12]2.1'!$C$81:$C$93,'[12]2.1'!$C$65:$C$78</definedName>
    <definedName name="T2.1?axis?R?ДЕТ">'[12]2.1'!$E$194:$K$206,'[12]2.1'!$E$32:$K$45,'[12]2.1'!$E$49:$K$62,'[12]2.1'!$E$65:$K$78,'[12]2.1'!$E$81:$K$93,'[12]2.1'!$E$96:$K$109,'[12]2.1'!$E$112:$K$126,'[12]2.1'!$E$130:$K$143</definedName>
    <definedName name="T2.1?axis?R?ДЕТ?">'[12]2.1'!$B$49:$B$62,'[12]2.1'!$B$65:$B$78,'[12]2.1'!$B$81:$B$93,'[12]2.1'!$B$96:$B$109,'[12]2.1'!$B$112:$B$126,'[12]2.1'!$B$130:$B$143,'[12]2.1'!$B$146:$B$158,'[12]2.1'!$B$162:$B$174</definedName>
    <definedName name="T2.1?Data" localSheetId="1">'[12]2.1'!$E$53:$J$61,'[12]2.1'!$E$48:$J$51,'[12]2.1'!$E$46:$J$46,'[12]2.1'!$E$36:$J$44,'[12]2.1'!$E$8:$J$34,'[12]2.1'!$E$177:$J$180,P1_T2.1?Data,P2_T2.1?Data,P3_T2.1?Data</definedName>
    <definedName name="T2.1?Data" localSheetId="22">'[12]2.1'!$E$53:$J$61,'[12]2.1'!$E$48:$J$51,'[12]2.1'!$E$46:$J$46,'[12]2.1'!$E$36:$J$44,'[12]2.1'!$E$8:$J$34,'[12]2.1'!$E$177:$J$180,P1_T2.1?Data,P2_T2.1?Data,P3_T2.1?Data</definedName>
    <definedName name="T2.1?Data" localSheetId="9">'[12]2.1'!$E$53:$J$61,'[12]2.1'!$E$48:$J$51,'[12]2.1'!$E$46:$J$46,'[12]2.1'!$E$36:$J$44,'[12]2.1'!$E$8:$J$34,'[12]2.1'!$E$177:$J$180,P1_T2.1?Data,P2_T2.1?Data,P3_T2.1?Data</definedName>
    <definedName name="T2.1?Data" localSheetId="12">'[12]2.1'!$E$53:$J$61,'[12]2.1'!$E$48:$J$51,'[12]2.1'!$E$46:$J$46,'[12]2.1'!$E$36:$J$44,'[12]2.1'!$E$8:$J$34,'[12]2.1'!$E$177:$J$180,P1_T2.1?Data,P2_T2.1?Data,P3_T2.1?Data</definedName>
    <definedName name="T2.1?Data" localSheetId="28">'[12]2.1'!$E$53:$J$61,'[12]2.1'!$E$48:$J$51,'[12]2.1'!$E$46:$J$46,'[12]2.1'!$E$36:$J$44,'[12]2.1'!$E$8:$J$34,'[12]2.1'!$E$177:$J$180,P1_T2.1?Data,P2_T2.1?Data,P3_T2.1?Data</definedName>
    <definedName name="T2.1?Data" localSheetId="25">'[12]2.1'!$E$53:$J$61,'[12]2.1'!$E$48:$J$51,'[12]2.1'!$E$46:$J$46,'[12]2.1'!$E$36:$J$44,'[12]2.1'!$E$8:$J$34,'[12]2.1'!$E$177:$J$180,P1_T2.1?Data,P2_T2.1?Data,P3_T2.1?Data</definedName>
    <definedName name="T2.1?Data" localSheetId="26">'[12]2.1'!$E$53:$J$61,'[12]2.1'!$E$48:$J$51,'[12]2.1'!$E$46:$J$46,'[12]2.1'!$E$36:$J$44,'[12]2.1'!$E$8:$J$34,'[12]2.1'!$E$177:$J$180,P1_T2.1?Data,P2_T2.1?Data,P3_T2.1?Data</definedName>
    <definedName name="T2.1?Data" localSheetId="27">'[12]2.1'!$E$53:$J$61,'[12]2.1'!$E$48:$J$51,'[12]2.1'!$E$46:$J$46,'[12]2.1'!$E$36:$J$44,'[12]2.1'!$E$8:$J$34,'[12]2.1'!$E$177:$J$180,P1_T2.1?Data,P2_T2.1?Data,P3_T2.1?Data</definedName>
    <definedName name="T2.1?Data" localSheetId="13">'[12]2.1'!$E$53:$J$61,'[12]2.1'!$E$48:$J$51,'[12]2.1'!$E$46:$J$46,'[12]2.1'!$E$36:$J$44,'[12]2.1'!$E$8:$J$34,'[12]2.1'!$E$177:$J$180,P1_T2.1?Data,P2_T2.1?Data,P3_T2.1?Data</definedName>
    <definedName name="T2.1?Data">'[12]2.1'!$E$53:$J$61,'[12]2.1'!$E$48:$J$51,'[12]2.1'!$E$46:$J$46,'[12]2.1'!$E$36:$J$44,'[12]2.1'!$E$8:$J$34,'[12]2.1'!$E$177:$J$180,P1_T2.1?Data,P2_T2.1?Data,P3_T2.1?Data</definedName>
    <definedName name="T2.1?item_ext?ГАЗ">'[12]2.1'!$E$199:$J$202,'[12]2.1'!$E$101:$J$104,'[12]2.1'!$E$86:$J$89,'[12]2.1'!$E$135:$J$138</definedName>
    <definedName name="T2.1?Protection" localSheetId="1">'1.План'!P6_T2.1?Protection</definedName>
    <definedName name="T2.1?Protection" localSheetId="22">'28.ПЛАН о Фин.сост'!P6_T2.1?Protection</definedName>
    <definedName name="T2.1?Protection" localSheetId="9">'4.защ лош'!P6_T2.1?Protection</definedName>
    <definedName name="T2.1?Protection" localSheetId="12">'5.ФОТ'!P6_T2.1?Protection</definedName>
    <definedName name="T2.1?Protection" localSheetId="28">Затраты!P6_T2.1?Protection</definedName>
    <definedName name="T2.1?Protection" localSheetId="25">'КРМД-24'!P6_T2.1?Protection</definedName>
    <definedName name="T2.1?Protection" localSheetId="26">'КРМД-25'!P6_T2.1?Protection</definedName>
    <definedName name="T2.1?Protection" localSheetId="27">'КРМД-26'!P6_T2.1?Protection</definedName>
    <definedName name="T2.1?Protection" localSheetId="13">'фИН РЕЗ'!P6_T2.1?Protection</definedName>
    <definedName name="T2.1?Protection">P6_T2.1?Protection</definedName>
    <definedName name="T2.1?unit?МКВТЧ">'[12]2.1'!$E$12:$J$12,'[12]2.1'!$E$14:$J$16,'[12]2.1'!$E$18:$J$18,'[12]2.1'!$E$23:$J$23,'[12]2.1'!$E$8:$J$10</definedName>
    <definedName name="T2.1?unit?ПРЦ">'[12]2.1'!$E$21:$J$21,'[12]2.1'!$E$30:$J$30,'[12]2.1'!$E$48:$J$51,'[12]2.1'!$E$53:$J$61,'[12]2.1'!$E$11:$J$11,'[12]2.1'!$E$17:$J$17</definedName>
    <definedName name="T2.1?unit?РУБ.ТМКБ">'[12]2.1'!$E$199:$J$202,'[12]2.1'!$E$101:$J$104,'[12]2.1'!$E$135:$J$138</definedName>
    <definedName name="T2.1?unit?РУБ.ТНТ" localSheetId="1">'[12]2.1'!$E$203:$J$205,'[12]2.1'!$E$96:$J$98,P1_T2.1?unit?РУБ.ТНТ</definedName>
    <definedName name="T2.1?unit?РУБ.ТНТ" localSheetId="22">'[12]2.1'!$E$203:$J$205,'[12]2.1'!$E$96:$J$98,P1_T2.1?unit?РУБ.ТНТ</definedName>
    <definedName name="T2.1?unit?РУБ.ТНТ" localSheetId="9">'[12]2.1'!$E$203:$J$205,'[12]2.1'!$E$96:$J$98,P1_T2.1?unit?РУБ.ТНТ</definedName>
    <definedName name="T2.1?unit?РУБ.ТНТ" localSheetId="12">'[12]2.1'!$E$203:$J$205,'[12]2.1'!$E$96:$J$98,P1_T2.1?unit?РУБ.ТНТ</definedName>
    <definedName name="T2.1?unit?РУБ.ТНТ" localSheetId="28">'[12]2.1'!$E$203:$J$205,'[12]2.1'!$E$96:$J$98,P1_T2.1?unit?РУБ.ТНТ</definedName>
    <definedName name="T2.1?unit?РУБ.ТНТ" localSheetId="25">'[12]2.1'!$E$203:$J$205,'[12]2.1'!$E$96:$J$98,P1_T2.1?unit?РУБ.ТНТ</definedName>
    <definedName name="T2.1?unit?РУБ.ТНТ" localSheetId="26">'[12]2.1'!$E$203:$J$205,'[12]2.1'!$E$96:$J$98,P1_T2.1?unit?РУБ.ТНТ</definedName>
    <definedName name="T2.1?unit?РУБ.ТНТ" localSheetId="27">'[12]2.1'!$E$203:$J$205,'[12]2.1'!$E$96:$J$98,P1_T2.1?unit?РУБ.ТНТ</definedName>
    <definedName name="T2.1?unit?РУБ.ТНТ" localSheetId="13">'[12]2.1'!$E$203:$J$205,'[12]2.1'!$E$96:$J$98,P1_T2.1?unit?РУБ.ТНТ</definedName>
    <definedName name="T2.1?unit?РУБ.ТНТ">'[12]2.1'!$E$203:$J$205,'[12]2.1'!$E$96:$J$98,P1_T2.1?unit?РУБ.ТНТ</definedName>
    <definedName name="T2.1?unit?РУБ.ТУТ">'[12]2.1'!$E$182:$J$189,'[12]2.1'!$E$191:$J$191,'[12]2.1'!$E$177:$J$180</definedName>
    <definedName name="T2.1?unit?ТГКАЛ">'[12]2.1'!$E$22:$J$22,'[12]2.1'!$E$26:$J$26,'[12]2.1'!$E$19:$J$20</definedName>
    <definedName name="T2.1?unit?ТРУБ">'[12]2.1'!$E$145:$J$159,'[12]2.1'!$E$161:$J$175,'[12]2.1'!$E$111:$J$127</definedName>
    <definedName name="T2.1?unit?ТТНТ">'[12]2.1'!$E$85:$J$85,'[12]2.1'!$E$90:$J$92,'[12]2.1'!$E$81:$J$83</definedName>
    <definedName name="T2.1?unit?ТТУТ">'[12]2.1'!$E$28:$J$29,'[12]2.1'!$E$31:$J$34,'[12]2.1'!$E$36:$J$44,'[12]2.1'!$E$46:$J$46,'[12]2.1'!$E$25:$J$25</definedName>
    <definedName name="T2.1_Protect" localSheetId="1">P4_T2.1_Protect,P5_T2.1_Protect,P6_T2.1_Protect,'1.План'!P7_T2.1_Protect</definedName>
    <definedName name="T2.1_Protect" localSheetId="22">P4_T2.1_Protect,P5_T2.1_Protect,P6_T2.1_Protect,'28.ПЛАН о Фин.сост'!P7_T2.1_Protect</definedName>
    <definedName name="T2.1_Protect" localSheetId="9">P4_T2.1_Protect,P5_T2.1_Protect,P6_T2.1_Protect,'4.защ лош'!P7_T2.1_Protect</definedName>
    <definedName name="T2.1_Protect" localSheetId="12">P4_T2.1_Protect,P5_T2.1_Protect,P6_T2.1_Protect,'5.ФОТ'!P7_T2.1_Protect</definedName>
    <definedName name="T2.1_Protect" localSheetId="28">P4_T2.1_Protect,P5_T2.1_Protect,P6_T2.1_Protect,Затраты!P7_T2.1_Protect</definedName>
    <definedName name="T2.1_Protect" localSheetId="25">P4_T2.1_Protect,P5_T2.1_Protect,P6_T2.1_Protect,'КРМД-24'!P7_T2.1_Protect</definedName>
    <definedName name="T2.1_Protect" localSheetId="26">P4_T2.1_Protect,P5_T2.1_Protect,P6_T2.1_Protect,'КРМД-25'!P7_T2.1_Protect</definedName>
    <definedName name="T2.1_Protect" localSheetId="27">P4_T2.1_Protect,P5_T2.1_Protect,P6_T2.1_Protect,'КРМД-26'!P7_T2.1_Protect</definedName>
    <definedName name="T2.1_Protect" localSheetId="13">P4_T2.1_Protect,P5_T2.1_Protect,P6_T2.1_Protect,'фИН РЕЗ'!P7_T2.1_Protect</definedName>
    <definedName name="T2.1_Protect">P4_T2.1_Protect,P5_T2.1_Protect,P6_T2.1_Protect,P7_T2.1_Protect</definedName>
    <definedName name="T2.2?axis?R?ВТОП">'[12]2.2'!$E$48:$K$61,'[12]2.2'!$E$64:$K$77,'[12]2.2'!$E$80:$K$92,'[12]2.2'!$E$95:$K$108,'[12]2.2'!$E$111:$K$123,'[12]2.2'!$E$127:$K$140,'[12]2.2'!$E$143:$K$155,'[12]2.2'!$E$159:$K$171</definedName>
    <definedName name="T2.2?axis?R?ВТОП?">'[12]2.2'!$C$175:$C$187,'[12]2.2'!$C$159:$C$171,'[12]2.2'!$C$143:$C$155,'[12]2.2'!$C$127:$C$140,'[12]2.2'!$C$111:$C$123,'[12]2.2'!$C$95:$C$108,'[12]2.2'!$C$80:$C$92,'[12]2.2'!$C$64:$C$77</definedName>
    <definedName name="T2.2?axis?R?ДЕТ">'[12]2.2'!$E$191:$K$203,'[12]2.2'!$E$32:$K$44,'[12]2.2'!$E$48:$K$61,'[12]2.2'!$E$64:$K$77,'[12]2.2'!$E$80:$K$92,'[12]2.2'!$E$95:$K$108,'[12]2.2'!$E$111:$K$123,'[12]2.2'!$E$127:$K$140</definedName>
    <definedName name="T2.2?axis?R?ДЕТ?">'[12]2.2'!$B$48:$B$61,'[12]2.2'!$B$64:$B$77,'[12]2.2'!$B$80:$B$92,'[12]2.2'!$B$95:$B$108,'[12]2.2'!$B$111:$B$123,'[12]2.2'!$B$127:$B$140,'[12]2.2'!$B$143:$B$155,'[12]2.2'!$B$159:$B$171</definedName>
    <definedName name="T2.2?Data" localSheetId="1">'[12]2.2'!$E$179:$J$186,'[12]2.2'!$E$188:$J$188,'[12]2.2'!$E$191:$J$202,'[12]2.2'!$E$205:$J$205,'[12]2.2'!$E$115:$J$122,P1_T2.2?Data,P2_T2.2?Data,P3_T2.2?Data</definedName>
    <definedName name="T2.2?Data" localSheetId="22">'[12]2.2'!$E$179:$J$186,'[12]2.2'!$E$188:$J$188,'[12]2.2'!$E$191:$J$202,'[12]2.2'!$E$205:$J$205,'[12]2.2'!$E$115:$J$122,P1_T2.2?Data,P2_T2.2?Data,P3_T2.2?Data</definedName>
    <definedName name="T2.2?Data" localSheetId="9">'[12]2.2'!$E$179:$J$186,'[12]2.2'!$E$188:$J$188,'[12]2.2'!$E$191:$J$202,'[12]2.2'!$E$205:$J$205,'[12]2.2'!$E$115:$J$122,P1_T2.2?Data,P2_T2.2?Data,P3_T2.2?Data</definedName>
    <definedName name="T2.2?Data" localSheetId="12">'[12]2.2'!$E$179:$J$186,'[12]2.2'!$E$188:$J$188,'[12]2.2'!$E$191:$J$202,'[12]2.2'!$E$205:$J$205,'[12]2.2'!$E$115:$J$122,P1_T2.2?Data,P2_T2.2?Data,P3_T2.2?Data</definedName>
    <definedName name="T2.2?Data" localSheetId="28">'[12]2.2'!$E$179:$J$186,'[12]2.2'!$E$188:$J$188,'[12]2.2'!$E$191:$J$202,'[12]2.2'!$E$205:$J$205,'[12]2.2'!$E$115:$J$122,P1_T2.2?Data,P2_T2.2?Data,P3_T2.2?Data</definedName>
    <definedName name="T2.2?Data" localSheetId="25">'[12]2.2'!$E$179:$J$186,'[12]2.2'!$E$188:$J$188,'[12]2.2'!$E$191:$J$202,'[12]2.2'!$E$205:$J$205,'[12]2.2'!$E$115:$J$122,P1_T2.2?Data,P2_T2.2?Data,P3_T2.2?Data</definedName>
    <definedName name="T2.2?Data" localSheetId="26">'[12]2.2'!$E$179:$J$186,'[12]2.2'!$E$188:$J$188,'[12]2.2'!$E$191:$J$202,'[12]2.2'!$E$205:$J$205,'[12]2.2'!$E$115:$J$122,P1_T2.2?Data,P2_T2.2?Data,P3_T2.2?Data</definedName>
    <definedName name="T2.2?Data" localSheetId="27">'[12]2.2'!$E$179:$J$186,'[12]2.2'!$E$188:$J$188,'[12]2.2'!$E$191:$J$202,'[12]2.2'!$E$205:$J$205,'[12]2.2'!$E$115:$J$122,P1_T2.2?Data,P2_T2.2?Data,P3_T2.2?Data</definedName>
    <definedName name="T2.2?Data" localSheetId="13">'[12]2.2'!$E$179:$J$186,'[12]2.2'!$E$188:$J$188,'[12]2.2'!$E$191:$J$202,'[12]2.2'!$E$205:$J$205,'[12]2.2'!$E$115:$J$122,P1_T2.2?Data,P2_T2.2?Data,P3_T2.2?Data</definedName>
    <definedName name="T2.2?Data">'[12]2.2'!$E$179:$J$186,'[12]2.2'!$E$188:$J$188,'[12]2.2'!$E$191:$J$202,'[12]2.2'!$E$205:$J$205,'[12]2.2'!$E$115:$J$122,P1_T2.2?Data,P2_T2.2?Data,P3_T2.2?Data</definedName>
    <definedName name="T2.2?item_ext?ГАЗ">'[12]2.2'!$E$196:$J$199,'[12]2.2'!$E$100:$J$103,'[12]2.2'!$E$85:$J$88,'[12]2.2'!$E$132:$J$135</definedName>
    <definedName name="T2.2?unit?МКВТЧ">'[12]2.2'!$E$12:$J$12,'[12]2.2'!$E$14:$J$16,'[12]2.2'!$E$18:$J$18,'[12]2.2'!$E$23:$J$23,'[12]2.2'!$E$8:$J$10</definedName>
    <definedName name="T2.2?unit?ПРЦ">'[12]2.2'!$E$21:$J$21,'[12]2.2'!$E$30:$J$30,'[12]2.2'!$E$47:$J$50,'[12]2.2'!$E$52:$J$60,'[12]2.2'!$E$11:$J$11,'[12]2.2'!$E$17:$J$17</definedName>
    <definedName name="T2.2?unit?РУБ.ТМКБ">'[12]2.2'!$E$196:$J$199,'[12]2.2'!$E$100:$J$103,'[12]2.2'!$E$132:$J$135</definedName>
    <definedName name="T2.2?unit?РУБ.ТНТ" localSheetId="1">'[12]2.2'!$E$200:$J$202,'[12]2.2'!$E$99:$J$99,P1_T2.2?unit?РУБ.ТНТ</definedName>
    <definedName name="T2.2?unit?РУБ.ТНТ" localSheetId="22">'[12]2.2'!$E$200:$J$202,'[12]2.2'!$E$99:$J$99,P1_T2.2?unit?РУБ.ТНТ</definedName>
    <definedName name="T2.2?unit?РУБ.ТНТ" localSheetId="9">'[12]2.2'!$E$200:$J$202,'[12]2.2'!$E$99:$J$99,P1_T2.2?unit?РУБ.ТНТ</definedName>
    <definedName name="T2.2?unit?РУБ.ТНТ" localSheetId="12">'[12]2.2'!$E$200:$J$202,'[12]2.2'!$E$99:$J$99,P1_T2.2?unit?РУБ.ТНТ</definedName>
    <definedName name="T2.2?unit?РУБ.ТНТ" localSheetId="28">'[12]2.2'!$E$200:$J$202,'[12]2.2'!$E$99:$J$99,P1_T2.2?unit?РУБ.ТНТ</definedName>
    <definedName name="T2.2?unit?РУБ.ТНТ" localSheetId="25">'[12]2.2'!$E$200:$J$202,'[12]2.2'!$E$99:$J$99,P1_T2.2?unit?РУБ.ТНТ</definedName>
    <definedName name="T2.2?unit?РУБ.ТНТ" localSheetId="26">'[12]2.2'!$E$200:$J$202,'[12]2.2'!$E$99:$J$99,P1_T2.2?unit?РУБ.ТНТ</definedName>
    <definedName name="T2.2?unit?РУБ.ТНТ" localSheetId="27">'[12]2.2'!$E$200:$J$202,'[12]2.2'!$E$99:$J$99,P1_T2.2?unit?РУБ.ТНТ</definedName>
    <definedName name="T2.2?unit?РУБ.ТНТ" localSheetId="13">'[12]2.2'!$E$200:$J$202,'[12]2.2'!$E$99:$J$99,P1_T2.2?unit?РУБ.ТНТ</definedName>
    <definedName name="T2.2?unit?РУБ.ТНТ">'[12]2.2'!$E$200:$J$202,'[12]2.2'!$E$99:$J$99,P1_T2.2?unit?РУБ.ТНТ</definedName>
    <definedName name="T2.2?unit?РУБ.ТУТ">'[12]2.2'!$E$179:$J$186,'[12]2.2'!$E$188:$J$188,'[12]2.2'!$E$174:$J$177</definedName>
    <definedName name="T2.2?unit?ТГКАЛ">'[12]2.2'!$E$22:$J$22,'[12]2.2'!$E$26:$J$26,'[12]2.2'!$E$19:$J$20</definedName>
    <definedName name="T2.2?unit?ТРУБ">'[12]2.2'!$E$142:$J$156,'[12]2.2'!$E$158:$J$172,'[12]2.2'!$E$110:$J$124</definedName>
    <definedName name="T2.2?unit?ТТНТ">'[12]2.2'!$E$84:$J$84,'[12]2.2'!$E$89:$J$91,'[12]2.2'!$E$80:$J$82</definedName>
    <definedName name="T2.2?unit?ТТУТ">'[12]2.2'!$E$28:$J$29,'[12]2.2'!$E$31:$J$34,'[12]2.2'!$E$36:$J$43,'[12]2.2'!$E$45:$J$45,'[12]2.2'!$E$25:$J$25</definedName>
    <definedName name="T2.2_Protect" localSheetId="1">'[12]2.2'!$A$207:$IV$308,'[12]2.2'!$O$1:$AO$65536,'[12]2.2'!$B$201:$B$202,P1_T2.2_Protect,P2_T2.2_Protect,P3_T2.2_Protect,P4_T2.2_Protect,P5_T2.2_Protect,P6_T2.2_Protect</definedName>
    <definedName name="T2.2_Protect" localSheetId="22">'[12]2.2'!$A$207:$IV$308,'[12]2.2'!$O$1:$AO$65536,'[12]2.2'!$B$201:$B$202,P1_T2.2_Protect,P2_T2.2_Protect,P3_T2.2_Protect,P4_T2.2_Protect,P5_T2.2_Protect,P6_T2.2_Protect</definedName>
    <definedName name="T2.2_Protect" localSheetId="9">'[12]2.2'!$A$207:$IV$308,'[12]2.2'!$O$1:$AO$65536,'[12]2.2'!$B$201:$B$202,P1_T2.2_Protect,P2_T2.2_Protect,P3_T2.2_Protect,P4_T2.2_Protect,P5_T2.2_Protect,P6_T2.2_Protect</definedName>
    <definedName name="T2.2_Protect" localSheetId="12">'[12]2.2'!$A$207:$IV$308,'[12]2.2'!$O$1:$AO$65536,'[12]2.2'!$B$201:$B$202,P1_T2.2_Protect,P2_T2.2_Protect,P3_T2.2_Protect,P4_T2.2_Protect,P5_T2.2_Protect,P6_T2.2_Protect</definedName>
    <definedName name="T2.2_Protect" localSheetId="28">'[12]2.2'!$A$207:$IV$308,'[12]2.2'!$O$1:$AO$65536,'[12]2.2'!$B$201:$B$202,P1_T2.2_Protect,P2_T2.2_Protect,P3_T2.2_Protect,P4_T2.2_Protect,P5_T2.2_Protect,P6_T2.2_Protect</definedName>
    <definedName name="T2.2_Protect" localSheetId="25">'[12]2.2'!$A$207:$IV$308,'[12]2.2'!$O$1:$AO$65536,'[12]2.2'!$B$201:$B$202,P1_T2.2_Protect,P2_T2.2_Protect,P3_T2.2_Protect,P4_T2.2_Protect,P5_T2.2_Protect,P6_T2.2_Protect</definedName>
    <definedName name="T2.2_Protect" localSheetId="26">'[12]2.2'!$A$207:$IV$308,'[12]2.2'!$O$1:$AO$65536,'[12]2.2'!$B$201:$B$202,P1_T2.2_Protect,P2_T2.2_Protect,P3_T2.2_Protect,P4_T2.2_Protect,P5_T2.2_Protect,P6_T2.2_Protect</definedName>
    <definedName name="T2.2_Protect" localSheetId="27">'[12]2.2'!$A$207:$IV$308,'[12]2.2'!$O$1:$AO$65536,'[12]2.2'!$B$201:$B$202,P1_T2.2_Protect,P2_T2.2_Protect,P3_T2.2_Protect,P4_T2.2_Protect,P5_T2.2_Protect,P6_T2.2_Protect</definedName>
    <definedName name="T2.2_Protect" localSheetId="13">'[12]2.2'!$A$207:$IV$308,'[12]2.2'!$O$1:$AO$65536,'[12]2.2'!$B$201:$B$202,P1_T2.2_Protect,P2_T2.2_Protect,P3_T2.2_Protect,P4_T2.2_Protect,P5_T2.2_Protect,P6_T2.2_Protect</definedName>
    <definedName name="T2.2_Protect">'[12]2.2'!$A$207:$IV$308,'[12]2.2'!$O$1:$AO$65536,'[12]2.2'!$B$201:$B$202,P1_T2.2_Protect,P2_T2.2_Protect,P3_T2.2_Protect,P4_T2.2_Protect,P5_T2.2_Protect,P6_T2.2_Protect</definedName>
    <definedName name="T2?axis?R?ВТОП" localSheetId="1">'[12]2'!$E$177:$K$190,'[12]2'!$E$194:$K$206,'[12]2'!$E$30:$K$42,P1_T2?axis?R?ВТОП</definedName>
    <definedName name="T2?axis?R?ВТОП" localSheetId="22">'[12]2'!$E$177:$K$190,'[12]2'!$E$194:$K$206,'[12]2'!$E$30:$K$42,P1_T2?axis?R?ВТОП</definedName>
    <definedName name="T2?axis?R?ВТОП" localSheetId="9">'[12]2'!$E$177:$K$190,'[12]2'!$E$194:$K$206,'[12]2'!$E$30:$K$42,P1_T2?axis?R?ВТОП</definedName>
    <definedName name="T2?axis?R?ВТОП" localSheetId="12">'[12]2'!$E$177:$K$190,'[12]2'!$E$194:$K$206,'[12]2'!$E$30:$K$42,P1_T2?axis?R?ВТОП</definedName>
    <definedName name="T2?axis?R?ВТОП" localSheetId="28">'[12]2'!$E$177:$K$190,'[12]2'!$E$194:$K$206,'[12]2'!$E$30:$K$42,P1_T2?axis?R?ВТОП</definedName>
    <definedName name="T2?axis?R?ВТОП" localSheetId="25">'[12]2'!$E$177:$K$190,'[12]2'!$E$194:$K$206,'[12]2'!$E$30:$K$42,P1_T2?axis?R?ВТОП</definedName>
    <definedName name="T2?axis?R?ВТОП" localSheetId="26">'[12]2'!$E$177:$K$190,'[12]2'!$E$194:$K$206,'[12]2'!$E$30:$K$42,P1_T2?axis?R?ВТОП</definedName>
    <definedName name="T2?axis?R?ВТОП" localSheetId="27">'[12]2'!$E$177:$K$190,'[12]2'!$E$194:$K$206,'[12]2'!$E$30:$K$42,P1_T2?axis?R?ВТОП</definedName>
    <definedName name="T2?axis?R?ВТОП" localSheetId="13">'[12]2'!$E$177:$K$190,'[12]2'!$E$194:$K$206,'[12]2'!$E$30:$K$42,P1_T2?axis?R?ВТОП</definedName>
    <definedName name="T2?axis?R?ВТОП">'[12]2'!$E$177:$K$190,'[12]2'!$E$194:$K$206,'[12]2'!$E$30:$K$42,P1_T2?axis?R?ВТОП</definedName>
    <definedName name="T2?axis?R?ВТОП?" localSheetId="1">'[12]2'!$C$46:$C$59,'[12]2'!$C$30:$C$42,'[12]2'!$C$194:$C$206,P1_T2?axis?R?ВТОП?</definedName>
    <definedName name="T2?axis?R?ВТОП?" localSheetId="22">'[12]2'!$C$46:$C$59,'[12]2'!$C$30:$C$42,'[12]2'!$C$194:$C$206,P1_T2?axis?R?ВТОП?</definedName>
    <definedName name="T2?axis?R?ВТОП?" localSheetId="9">'[12]2'!$C$46:$C$59,'[12]2'!$C$30:$C$42,'[12]2'!$C$194:$C$206,P1_T2?axis?R?ВТОП?</definedName>
    <definedName name="T2?axis?R?ВТОП?" localSheetId="12">'[12]2'!$C$46:$C$59,'[12]2'!$C$30:$C$42,'[12]2'!$C$194:$C$206,P1_T2?axis?R?ВТОП?</definedName>
    <definedName name="T2?axis?R?ВТОП?" localSheetId="28">'[12]2'!$C$46:$C$59,'[12]2'!$C$30:$C$42,'[12]2'!$C$194:$C$206,P1_T2?axis?R?ВТОП?</definedName>
    <definedName name="T2?axis?R?ВТОП?" localSheetId="25">'[12]2'!$C$46:$C$59,'[12]2'!$C$30:$C$42,'[12]2'!$C$194:$C$206,P1_T2?axis?R?ВТОП?</definedName>
    <definedName name="T2?axis?R?ВТОП?" localSheetId="26">'[12]2'!$C$46:$C$59,'[12]2'!$C$30:$C$42,'[12]2'!$C$194:$C$206,P1_T2?axis?R?ВТОП?</definedName>
    <definedName name="T2?axis?R?ВТОП?" localSheetId="27">'[12]2'!$C$46:$C$59,'[12]2'!$C$30:$C$42,'[12]2'!$C$194:$C$206,P1_T2?axis?R?ВТОП?</definedName>
    <definedName name="T2?axis?R?ВТОП?" localSheetId="13">'[12]2'!$C$46:$C$59,'[12]2'!$C$30:$C$42,'[12]2'!$C$194:$C$206,P1_T2?axis?R?ВТОП?</definedName>
    <definedName name="T2?axis?R?ВТОП?">'[12]2'!$C$46:$C$59,'[12]2'!$C$30:$C$42,'[12]2'!$C$194:$C$206,P1_T2?axis?R?ВТОП?</definedName>
    <definedName name="T2?axis?R?ДЕТ" localSheetId="1">'[12]2'!$E$143:$K$156,'[12]2'!$E$160:$K$173,'[12]2'!$E$177:$K$190,P1_T2?axis?R?ДЕТ</definedName>
    <definedName name="T2?axis?R?ДЕТ" localSheetId="22">'[12]2'!$E$143:$K$156,'[12]2'!$E$160:$K$173,'[12]2'!$E$177:$K$190,P1_T2?axis?R?ДЕТ</definedName>
    <definedName name="T2?axis?R?ДЕТ" localSheetId="9">'[12]2'!$E$143:$K$156,'[12]2'!$E$160:$K$173,'[12]2'!$E$177:$K$190,P1_T2?axis?R?ДЕТ</definedName>
    <definedName name="T2?axis?R?ДЕТ" localSheetId="12">'[12]2'!$E$143:$K$156,'[12]2'!$E$160:$K$173,'[12]2'!$E$177:$K$190,P1_T2?axis?R?ДЕТ</definedName>
    <definedName name="T2?axis?R?ДЕТ" localSheetId="28">'[12]2'!$E$143:$K$156,'[12]2'!$E$160:$K$173,'[12]2'!$E$177:$K$190,P1_T2?axis?R?ДЕТ</definedName>
    <definedName name="T2?axis?R?ДЕТ" localSheetId="25">'[12]2'!$E$143:$K$156,'[12]2'!$E$160:$K$173,'[12]2'!$E$177:$K$190,P1_T2?axis?R?ДЕТ</definedName>
    <definedName name="T2?axis?R?ДЕТ" localSheetId="26">'[12]2'!$E$143:$K$156,'[12]2'!$E$160:$K$173,'[12]2'!$E$177:$K$190,P1_T2?axis?R?ДЕТ</definedName>
    <definedName name="T2?axis?R?ДЕТ" localSheetId="27">'[12]2'!$E$143:$K$156,'[12]2'!$E$160:$K$173,'[12]2'!$E$177:$K$190,P1_T2?axis?R?ДЕТ</definedName>
    <definedName name="T2?axis?R?ДЕТ" localSheetId="13">'[12]2'!$E$143:$K$156,'[12]2'!$E$160:$K$173,'[12]2'!$E$177:$K$190,P1_T2?axis?R?ДЕТ</definedName>
    <definedName name="T2?axis?R?ДЕТ">'[12]2'!$E$143:$K$156,'[12]2'!$E$160:$K$173,'[12]2'!$E$177:$K$190,P1_T2?axis?R?ДЕТ</definedName>
    <definedName name="T2?axis?R?ДЕТ?" localSheetId="1">'[12]2'!$B$177:$B$190,'[12]2'!$B$194:$B$206,'[12]2'!$B$30:$B$42,P1_T2?axis?R?ДЕТ?</definedName>
    <definedName name="T2?axis?R?ДЕТ?" localSheetId="22">'[12]2'!$B$177:$B$190,'[12]2'!$B$194:$B$206,'[12]2'!$B$30:$B$42,P1_T2?axis?R?ДЕТ?</definedName>
    <definedName name="T2?axis?R?ДЕТ?" localSheetId="9">'[12]2'!$B$177:$B$190,'[12]2'!$B$194:$B$206,'[12]2'!$B$30:$B$42,P1_T2?axis?R?ДЕТ?</definedName>
    <definedName name="T2?axis?R?ДЕТ?" localSheetId="12">'[12]2'!$B$177:$B$190,'[12]2'!$B$194:$B$206,'[12]2'!$B$30:$B$42,P1_T2?axis?R?ДЕТ?</definedName>
    <definedName name="T2?axis?R?ДЕТ?" localSheetId="28">'[12]2'!$B$177:$B$190,'[12]2'!$B$194:$B$206,'[12]2'!$B$30:$B$42,P1_T2?axis?R?ДЕТ?</definedName>
    <definedName name="T2?axis?R?ДЕТ?" localSheetId="25">'[12]2'!$B$177:$B$190,'[12]2'!$B$194:$B$206,'[12]2'!$B$30:$B$42,P1_T2?axis?R?ДЕТ?</definedName>
    <definedName name="T2?axis?R?ДЕТ?" localSheetId="26">'[12]2'!$B$177:$B$190,'[12]2'!$B$194:$B$206,'[12]2'!$B$30:$B$42,P1_T2?axis?R?ДЕТ?</definedName>
    <definedName name="T2?axis?R?ДЕТ?" localSheetId="27">'[12]2'!$B$177:$B$190,'[12]2'!$B$194:$B$206,'[12]2'!$B$30:$B$42,P1_T2?axis?R?ДЕТ?</definedName>
    <definedName name="T2?axis?R?ДЕТ?" localSheetId="13">'[12]2'!$B$177:$B$190,'[12]2'!$B$194:$B$206,'[12]2'!$B$30:$B$42,P1_T2?axis?R?ДЕТ?</definedName>
    <definedName name="T2?axis?R?ДЕТ?">'[12]2'!$B$177:$B$190,'[12]2'!$B$194:$B$206,'[12]2'!$B$30:$B$42,P1_T2?axis?R?ДЕТ?</definedName>
    <definedName name="T2?axis?ПФ?ПЛАН">'[12]2'!$J$6:$J$209,'[12]2'!$H$6:$H$209</definedName>
    <definedName name="T2?axis?ПФ?ФАКТ">'[12]2'!$K$6:$K$209,'[12]2'!$I$6:$I$209</definedName>
    <definedName name="T2?Data" localSheetId="1">P5_T2?Data,P6_T2?Data,'1.План'!P7_T2?Data</definedName>
    <definedName name="T2?Data" localSheetId="22">P5_T2?Data,P6_T2?Data,'28.ПЛАН о Фин.сост'!P7_T2?Data</definedName>
    <definedName name="T2?Data" localSheetId="9">P5_T2?Data,P6_T2?Data,'4.защ лош'!P7_T2?Data</definedName>
    <definedName name="T2?Data" localSheetId="12">P5_T2?Data,P6_T2?Data,'5.ФОТ'!P7_T2?Data</definedName>
    <definedName name="T2?Data" localSheetId="28">P5_T2?Data,P6_T2?Data,Затраты!P7_T2?Data</definedName>
    <definedName name="T2?Data" localSheetId="25">P5_T2?Data,P6_T2?Data,'КРМД-24'!P7_T2?Data</definedName>
    <definedName name="T2?Data" localSheetId="26">P5_T2?Data,P6_T2?Data,'КРМД-25'!P7_T2?Data</definedName>
    <definedName name="T2?Data" localSheetId="27">P5_T2?Data,P6_T2?Data,'КРМД-26'!P7_T2?Data</definedName>
    <definedName name="T2?Data" localSheetId="13">P5_T2?Data,P6_T2?Data,'фИН РЕЗ'!P7_T2?Data</definedName>
    <definedName name="T2?Data">P5_T2?Data,P6_T2?Data,P7_T2?Data</definedName>
    <definedName name="T2?item_ext?ГАЗ">'[12]2'!$E$199:$G$202,'[12]2'!$E$99:$G$102,'[12]2'!$E$83:$G$86,'[12]2'!$E$132:$G$135</definedName>
    <definedName name="T2?Protection" localSheetId="1">P1_T2?Protection,P2_T2?Protection</definedName>
    <definedName name="T2?Protection" localSheetId="22">P1_T2?Protection,P2_T2?Protection</definedName>
    <definedName name="T2?Protection" localSheetId="9">P1_T2?Protection,P2_T2?Protection</definedName>
    <definedName name="T2?Protection" localSheetId="12">P1_T2?Protection,P2_T2?Protection</definedName>
    <definedName name="T2?Protection" localSheetId="28">P1_T2?Protection,P2_T2?Protection</definedName>
    <definedName name="T2?Protection" localSheetId="25">P1_T2?Protection,P2_T2?Protection</definedName>
    <definedName name="T2?Protection" localSheetId="26">P1_T2?Protection,P2_T2?Protection</definedName>
    <definedName name="T2?Protection" localSheetId="27">P1_T2?Protection,P2_T2?Protection</definedName>
    <definedName name="T2?Protection" localSheetId="13">P1_T2?Protection,P2_T2?Protection</definedName>
    <definedName name="T2?Protection">P1_T2?Protection,P2_T2?Protection</definedName>
    <definedName name="T2?unit?МКВТЧ">'[12]2'!$E$10:$G$10,'[12]2'!$E$12:$G$14,'[12]2'!$E$16:$G$16,'[12]2'!$E$21:$G$21,'[12]2'!$E$6:$G$8</definedName>
    <definedName name="T2?unit?ПРЦ">'[12]2'!$E$19:$G$19,'[12]2'!$E$28:$G$28,'[12]2'!$E$45:$G$48,'[12]2'!$E$50:$G$58,'[12]2'!$E$9:$G$9,'[12]2'!$H$6:$K$209,'[12]2'!$E$15:$G$15</definedName>
    <definedName name="T2?unit?РУБ.ТМКБ">'[12]2'!$E$199:$G$202,'[12]2'!$E$99:$G$102,'[12]2'!$E$132:$G$135</definedName>
    <definedName name="T2?unit?РУБ.ТНТ" localSheetId="1">'[12]2'!$E$94:$G$96,P1_T2?unit?РУБ.ТНТ</definedName>
    <definedName name="T2?unit?РУБ.ТНТ" localSheetId="22">'[12]2'!$E$94:$G$96,P1_T2?unit?РУБ.ТНТ</definedName>
    <definedName name="T2?unit?РУБ.ТНТ" localSheetId="9">'[12]2'!$E$94:$G$96,P1_T2?unit?РУБ.ТНТ</definedName>
    <definedName name="T2?unit?РУБ.ТНТ" localSheetId="12">'[12]2'!$E$94:$G$96,P1_T2?unit?РУБ.ТНТ</definedName>
    <definedName name="T2?unit?РУБ.ТНТ" localSheetId="28">'[12]2'!$E$94:$G$96,P1_T2?unit?РУБ.ТНТ</definedName>
    <definedName name="T2?unit?РУБ.ТНТ" localSheetId="25">'[12]2'!$E$94:$G$96,P1_T2?unit?РУБ.ТНТ</definedName>
    <definedName name="T2?unit?РУБ.ТНТ" localSheetId="26">'[12]2'!$E$94:$G$96,P1_T2?unit?РУБ.ТНТ</definedName>
    <definedName name="T2?unit?РУБ.ТНТ" localSheetId="27">'[12]2'!$E$94:$G$96,P1_T2?unit?РУБ.ТНТ</definedName>
    <definedName name="T2?unit?РУБ.ТНТ" localSheetId="13">'[12]2'!$E$94:$G$96,P1_T2?unit?РУБ.ТНТ</definedName>
    <definedName name="T2?unit?РУБ.ТНТ">'[12]2'!$E$94:$G$96,P1_T2?unit?РУБ.ТНТ</definedName>
    <definedName name="T2?unit?РУБ.ТУТ">'[12]2'!$E$181:$G$189,'[12]2'!$E$191:$G$191,'[12]2'!$E$176:$G$179</definedName>
    <definedName name="T2?unit?ТГКАЛ">'[12]2'!$E$20:$G$20,'[12]2'!$E$24:$G$24,'[12]2'!$E$17:$G$18</definedName>
    <definedName name="T2?unit?ТРУБ" localSheetId="1">'[12]2'!$E$109:$G$112,P1_T2?unit?ТРУБ</definedName>
    <definedName name="T2?unit?ТРУБ" localSheetId="22">'[12]2'!$E$109:$G$112,P1_T2?unit?ТРУБ</definedName>
    <definedName name="T2?unit?ТРУБ" localSheetId="9">'[12]2'!$E$109:$G$112,P1_T2?unit?ТРУБ</definedName>
    <definedName name="T2?unit?ТРУБ" localSheetId="12">'[12]2'!$E$109:$G$112,P1_T2?unit?ТРУБ</definedName>
    <definedName name="T2?unit?ТРУБ" localSheetId="28">'[12]2'!$E$109:$G$112,P1_T2?unit?ТРУБ</definedName>
    <definedName name="T2?unit?ТРУБ" localSheetId="25">'[12]2'!$E$109:$G$112,P1_T2?unit?ТРУБ</definedName>
    <definedName name="T2?unit?ТРУБ" localSheetId="26">'[12]2'!$E$109:$G$112,P1_T2?unit?ТРУБ</definedName>
    <definedName name="T2?unit?ТРУБ" localSheetId="27">'[12]2'!$E$109:$G$112,P1_T2?unit?ТРУБ</definedName>
    <definedName name="T2?unit?ТРУБ" localSheetId="13">'[12]2'!$E$109:$G$112,P1_T2?unit?ТРУБ</definedName>
    <definedName name="T2?unit?ТРУБ">'[12]2'!$E$109:$G$112,P1_T2?unit?ТРУБ</definedName>
    <definedName name="T2?unit?ТТНТ">'[12]2'!$E$82:$G$82,'[12]2'!$E$87:$G$90,'[12]2'!$E$78:$G$80</definedName>
    <definedName name="T2?unit?ТТУТ">'[12]2'!$E$26:$G$27,'[12]2'!$E$29:$G$32,'[12]2'!$E$34:$G$41,'[12]2'!$E$43:$G$43,'[12]2'!$E$23:$G$23</definedName>
    <definedName name="T2_1_Protect" localSheetId="1">P4_T2_1_Protect,P5_T2_1_Protect,P6_T2_1_Protect,'1.План'!P7_T2_1_Protect</definedName>
    <definedName name="T2_1_Protect" localSheetId="22">P4_T2_1_Protect,P5_T2_1_Protect,P6_T2_1_Protect,'28.ПЛАН о Фин.сост'!P7_T2_1_Protect</definedName>
    <definedName name="T2_1_Protect" localSheetId="9">P4_T2_1_Protect,P5_T2_1_Protect,P6_T2_1_Protect,'4.защ лош'!P7_T2_1_Protect</definedName>
    <definedName name="T2_1_Protect" localSheetId="12">P4_T2_1_Protect,P5_T2_1_Protect,P6_T2_1_Protect,'5.ФОТ'!P7_T2_1_Protect</definedName>
    <definedName name="T2_1_Protect" localSheetId="28">P4_T2_1_Protect,P5_T2_1_Protect,P6_T2_1_Protect,Затраты!P7_T2_1_Protect</definedName>
    <definedName name="T2_1_Protect" localSheetId="25">P4_T2_1_Protect,P5_T2_1_Protect,P6_T2_1_Protect,'КРМД-24'!P7_T2_1_Protect</definedName>
    <definedName name="T2_1_Protect" localSheetId="26">P4_T2_1_Protect,P5_T2_1_Protect,P6_T2_1_Protect,'КРМД-25'!P7_T2_1_Protect</definedName>
    <definedName name="T2_1_Protect" localSheetId="27">P4_T2_1_Protect,P5_T2_1_Protect,P6_T2_1_Protect,'КРМД-26'!P7_T2_1_Protect</definedName>
    <definedName name="T2_1_Protect" localSheetId="13">P4_T2_1_Protect,P5_T2_1_Protect,P6_T2_1_Protect,'фИН РЕЗ'!P7_T2_1_Protect</definedName>
    <definedName name="T2_1_Protect">P4_T2_1_Protect,P5_T2_1_Protect,P6_T2_1_Protect,P7_T2_1_Protect</definedName>
    <definedName name="T2_2_Protect" localSheetId="1">P4_T2_2_Protect,P5_T2_2_Protect,P6_T2_2_Protect,'1.План'!P7_T2_2_Protect</definedName>
    <definedName name="T2_2_Protect" localSheetId="22">P4_T2_2_Protect,P5_T2_2_Protect,P6_T2_2_Protect,'28.ПЛАН о Фин.сост'!P7_T2_2_Protect</definedName>
    <definedName name="T2_2_Protect" localSheetId="9">P4_T2_2_Protect,P5_T2_2_Protect,P6_T2_2_Protect,'4.защ лош'!P7_T2_2_Protect</definedName>
    <definedName name="T2_2_Protect" localSheetId="12">P4_T2_2_Protect,P5_T2_2_Protect,P6_T2_2_Protect,'5.ФОТ'!P7_T2_2_Protect</definedName>
    <definedName name="T2_2_Protect" localSheetId="28">P4_T2_2_Protect,P5_T2_2_Protect,P6_T2_2_Protect,Затраты!P7_T2_2_Protect</definedName>
    <definedName name="T2_2_Protect" localSheetId="25">P4_T2_2_Protect,P5_T2_2_Protect,P6_T2_2_Protect,'КРМД-24'!P7_T2_2_Protect</definedName>
    <definedName name="T2_2_Protect" localSheetId="26">P4_T2_2_Protect,P5_T2_2_Protect,P6_T2_2_Protect,'КРМД-25'!P7_T2_2_Protect</definedName>
    <definedName name="T2_2_Protect" localSheetId="27">P4_T2_2_Protect,P5_T2_2_Protect,P6_T2_2_Protect,'КРМД-26'!P7_T2_2_Protect</definedName>
    <definedName name="T2_2_Protect" localSheetId="13">P4_T2_2_Protect,P5_T2_2_Protect,P6_T2_2_Protect,'фИН РЕЗ'!P7_T2_2_Protect</definedName>
    <definedName name="T2_2_Protect">P4_T2_2_Protect,P5_T2_2_Protect,P6_T2_2_Protect,P7_T2_2_Protect</definedName>
    <definedName name="T2_ADD_COL">'[12]2'!#REF!</definedName>
    <definedName name="T2_DiapProt" localSheetId="1">P1_T2_DiapProt,P2_T2_DiapProt</definedName>
    <definedName name="T2_DiapProt" localSheetId="22">P1_T2_DiapProt,P2_T2_DiapProt</definedName>
    <definedName name="T2_DiapProt" localSheetId="9">P1_T2_DiapProt,P2_T2_DiapProt</definedName>
    <definedName name="T2_DiapProt" localSheetId="12">P1_T2_DiapProt,P2_T2_DiapProt</definedName>
    <definedName name="T2_DiapProt" localSheetId="28">P1_T2_DiapProt,P2_T2_DiapProt</definedName>
    <definedName name="T2_DiapProt" localSheetId="25">P1_T2_DiapProt,P2_T2_DiapProt</definedName>
    <definedName name="T2_DiapProt" localSheetId="26">P1_T2_DiapProt,P2_T2_DiapProt</definedName>
    <definedName name="T2_DiapProt" localSheetId="27">P1_T2_DiapProt,P2_T2_DiapProt</definedName>
    <definedName name="T2_DiapProt" localSheetId="13">P1_T2_DiapProt,P2_T2_DiapProt</definedName>
    <definedName name="T2_DiapProt">P1_T2_DiapProt,P2_T2_DiapProt</definedName>
    <definedName name="T2_Protect" localSheetId="1">P4_T2_Protect,P5_T2_Protect,'1.План'!P6_T2_Protect</definedName>
    <definedName name="T2_Protect" localSheetId="22">P4_T2_Protect,P5_T2_Protect,'28.ПЛАН о Фин.сост'!P6_T2_Protect</definedName>
    <definedName name="T2_Protect" localSheetId="9">P4_T2_Protect,P5_T2_Protect,'4.защ лош'!P6_T2_Protect</definedName>
    <definedName name="T2_Protect" localSheetId="12">P4_T2_Protect,P5_T2_Protect,'5.ФОТ'!P6_T2_Protect</definedName>
    <definedName name="T2_Protect" localSheetId="28">P4_T2_Protect,P5_T2_Protect,Затраты!P6_T2_Protect</definedName>
    <definedName name="T2_Protect" localSheetId="25">P4_T2_Protect,P5_T2_Protect,'КРМД-24'!P6_T2_Protect</definedName>
    <definedName name="T2_Protect" localSheetId="26">P4_T2_Protect,P5_T2_Protect,'КРМД-25'!P6_T2_Protect</definedName>
    <definedName name="T2_Protect" localSheetId="27">P4_T2_Protect,P5_T2_Protect,'КРМД-26'!P6_T2_Protect</definedName>
    <definedName name="T2_Protect" localSheetId="13">P4_T2_Protect,P5_T2_Protect,'фИН РЕЗ'!P6_T2_Protect</definedName>
    <definedName name="T2_Protect">P4_T2_Protect,P5_T2_Protect,P6_T2_Protect</definedName>
    <definedName name="T20?axis?R?ДОГОВОР">'[12]20'!$G$7:$O$23,'[12]20'!$G$25:$O$35</definedName>
    <definedName name="T20?axis?R?ДОГОВОР?">'[12]20'!$D$7:$D$23,'[12]20'!$D$25:$D$35</definedName>
    <definedName name="T20?axis?ПРД?БАЗ">'[12]20'!$L$6:$M$36,'[12]20'!$I$6:$J$36</definedName>
    <definedName name="T20?axis?ПРД?ПРЕД">'[12]20'!$G$6:$H$36,'[12]20'!$N$6:$O$36</definedName>
    <definedName name="T20?axis?ПФ?ПЛАН">'[12]20'!$L$6:$L$36,'[12]20'!$G$6:$G$36,'[12]20'!$N$6:$N$36,'[12]20'!$I$6:$I$36</definedName>
    <definedName name="T20?axis?ПФ?ФАКТ">'[12]20'!$M$6:$M$36,'[12]20'!$H$6:$H$36,'[12]20'!$O$6:$O$36,'[12]20'!$J$6:$J$36</definedName>
    <definedName name="T20?Data">'[12]20'!$G$8:$O$16,'[12]20'!$G$24:$O$24,'[12]20'!$G$26:$O$34,'[12]20'!$G$36:$O$36,'[12]20'!$G$6:$O$6</definedName>
    <definedName name="T20?L1.1">'[12]20'!$G$11:$O$11,'[12]20'!$G$14:$O$14,'[12]20'!$G$8:$O$8</definedName>
    <definedName name="T20?L1.2">'[12]20'!$G$12:$O$12,'[12]20'!$G$15:$O$15,'[12]20'!$G$9:$O$9</definedName>
    <definedName name="T20?L1.3">'[12]20'!$G$13:$O$13,'[12]20'!$G$16:$O$16,'[12]20'!$G$10:$O$10</definedName>
    <definedName name="T20?L2.1">'[12]20'!$G$29:$O$29,'[12]20'!$G$32:$O$32,'[12]20'!$G$26:$O$26</definedName>
    <definedName name="T20?L2.2">'[12]20'!$G$30:$O$30,'[12]20'!$G$33:$O$33,'[12]20'!$G$27:$O$27</definedName>
    <definedName name="T20?L2.3">'[12]20'!$G$31:$O$31,'[12]20'!$G$34:$O$34,'[12]20'!$G$28:$O$28</definedName>
    <definedName name="T20_Protect">'[12]20'!$B$26:$B$34,'[12]20'!$G$26:$K$34,'[12]20'!$B$8:$B$16,'[12]20'!$A$38:$IV$165,'[12]20'!$P$1:$AS$65536,'[12]20'!$G$8:$K$16</definedName>
    <definedName name="T21?axis?ПРД?БАЗ">'[12]21'!$J$6:$K$18,'[12]21'!$G$6:$H$18</definedName>
    <definedName name="T21?axis?ПРД?ПРЕД">'[12]21'!$L$6:$M$18,'[12]21'!$E$6:$F$18</definedName>
    <definedName name="T21?axis?ПФ?ПЛАН">'[12]21'!$J$6:$J$18,'[12]21'!$E$6:$E$18,'[12]21'!$L$6:$L$18,'[12]21'!$G$6:$G$18</definedName>
    <definedName name="T21?axis?ПФ?ФАКТ">'[12]21'!$K$6:$K$18,'[12]21'!$F$6:$F$18,'[12]21'!$M$6:$M$18,'[12]21'!$H$6:$H$18</definedName>
    <definedName name="T21?Data">'[12]21'!$E$11:$M$11,'[12]21'!$E$13:$M$16,'[12]21'!$E$18:$M$18,'[12]21'!$E$6:$M$9</definedName>
    <definedName name="T21_Protect">'[12]21'!$B$14:$B$16,'[12]21'!$E$13:$I$16,'[12]21'!$A$19:$IV$118,'[12]21'!$N$1:$AQ$65536,'[12]21'!$E$11:$I$11,'[12]21'!$E$6:$I$8,'[12]21'!$B$11:$B$11</definedName>
    <definedName name="T22?axis?ПРД?БАЗ">'[12]22'!$L$6:$M$37,'[12]22'!$I$6:$J$37</definedName>
    <definedName name="T22?axis?ПРД?ПРЕД">'[12]22'!$N$6:$O$37,'[12]22'!$G$6:$H$37</definedName>
    <definedName name="T22?axis?ПФ?ПЛАН">'[12]22'!$L$6:$L$37,'[12]22'!$G$6:$G$37,'[12]22'!$N$6:$N$37,'[12]22'!$I$6:$I$37</definedName>
    <definedName name="T22?axis?ПФ?ФАКТ">'[12]22'!$M$6:$M$37,'[12]22'!$H$6:$H$37,'[12]22'!$O$6:$O$37,'[12]22'!$J$6:$J$37</definedName>
    <definedName name="T22?Data" localSheetId="1">'[12]22'!$G$30:$O$30,P1_T22?Data</definedName>
    <definedName name="T22?Data" localSheetId="22">'[12]22'!$G$30:$O$30,P1_T22?Data</definedName>
    <definedName name="T22?Data" localSheetId="9">'[12]22'!$G$30:$O$30,P1_T22?Data</definedName>
    <definedName name="T22?Data" localSheetId="12">'[12]22'!$G$30:$O$30,P1_T22?Data</definedName>
    <definedName name="T22?Data" localSheetId="28">'[12]22'!$G$30:$O$30,P1_T22?Data</definedName>
    <definedName name="T22?Data" localSheetId="25">'[12]22'!$G$30:$O$30,P1_T22?Data</definedName>
    <definedName name="T22?Data" localSheetId="26">'[12]22'!$G$30:$O$30,P1_T22?Data</definedName>
    <definedName name="T22?Data" localSheetId="27">'[12]22'!$G$30:$O$30,P1_T22?Data</definedName>
    <definedName name="T22?Data" localSheetId="13">'[12]22'!$G$30:$O$30,P1_T22?Data</definedName>
    <definedName name="T22?Data">'[12]22'!$G$30:$O$30,P1_T22?Data</definedName>
    <definedName name="T22?L1.x">'[12]22'!$G$32:$O$34,'[12]22'!$G$8:$O$10</definedName>
    <definedName name="T22_Protect">'[12]22'!$A$6:$C$35,'[12]22'!$A$38:$IV$138,'[12]22'!$P$1:$AS$65536,'[12]22'!$G$8:$K$34</definedName>
    <definedName name="T23?axis?ПРД?БАЗ">'[12]23'!$I$6:$J$13,'[12]23'!$F$6:$G$13</definedName>
    <definedName name="T23?axis?ПРД?ПРЕД">'[12]23'!$K$6:$L$13,'[12]23'!$D$6:$E$13</definedName>
    <definedName name="T23?axis?ПФ?ПЛАН">'[12]23'!$I$6:$I$13,'[12]23'!$D$6:$D$13,'[12]23'!$K$6:$K$13,'[12]23'!$F$6:$F$13</definedName>
    <definedName name="T23?axis?ПФ?ФАКТ">'[12]23'!$J$6:$J$13,'[12]23'!$E$6:$E$13,'[12]23'!$L$6:$L$13,'[12]23'!$G$6:$G$13</definedName>
    <definedName name="T23?Data">'[12]23'!$D$9:$L$9,'[12]23'!$D$11:$L$13,'[12]23'!$D$6:$L$7</definedName>
    <definedName name="T23?unit?ПРЦ">'[12]23'!$D$12:$H$12,'[12]23'!$I$6:$L$13</definedName>
    <definedName name="T23?unit?ТРУБ">'[12]23'!$D$9:$H$9,'[12]23'!$D$11:$H$11,'[12]23'!$D$13:$H$13,'[12]23'!$D$6:$H$7</definedName>
    <definedName name="T23_Protect">'[12]23'!$D$12:$H$12,'[12]23'!$D$6:$H$7,'[12]23'!$A$14:$IV$113,'[12]23'!$M$1:$AP$65536,'[12]23'!$D$9:$H$9</definedName>
    <definedName name="T24.1?Data">'[12]24.1'!$E$11,'[12]24.1'!$H$11:$J$11,'[12]24.1'!$E$21,'[12]24.1'!$H$21:$J$21,'[12]24.1'!$B$16:$J$19,'[12]24.1'!$B$6:$J$9</definedName>
    <definedName name="T24.1?unit?ТРУБ">'[12]24.1'!$E$5:$E$21,'[12]24.1'!$J$5:$J$21</definedName>
    <definedName name="T24.1_Protect">'[12]24.1'!$B$6:$I$9,'[12]24.1'!$A$22:$IV$122,'[12]24.1'!$K$1:$AK$65536,'[12]24.1'!$B$16:$I$19</definedName>
    <definedName name="T24?axis?R?ДОГОВОР">'[12]24'!$D$20:$L$23,'[12]24'!$D$8:$L$11</definedName>
    <definedName name="T24?axis?R?ДОГОВОР?">'[12]24'!$B$20:$B$23,'[12]24'!$B$8:$B$11</definedName>
    <definedName name="T24?axis?ПРД?БАЗ">'[12]24'!$I$6:$J$25,'[12]24'!$F$6:$G$25</definedName>
    <definedName name="T24?axis?ПРД?ПРЕД">'[12]24'!$K$6:$L$25,'[12]24'!$D$6:$E$25</definedName>
    <definedName name="T24?axis?ПФ?ПЛАН">'[12]24'!$F$6:$F$25,'[12]24'!$I$6:$I$25,'[12]24'!$K$6:$K$25,'[12]24'!$D$6:$D$25</definedName>
    <definedName name="T24?axis?ПФ?ФАКТ">'[12]24'!$J$6:$J$25,'[12]24'!$E$6:$E$25,'[12]24'!$L$6:$L$25,'[12]24'!$G$6:$G$25</definedName>
    <definedName name="T24?Data">'[12]24'!$D$8:$L$11,'[12]24'!$D$13:$L$18,'[12]24'!$D$20:$L$23,'[12]24'!$D$25:$L$25,'[12]24'!$D$6:$L$6</definedName>
    <definedName name="T24?unit?ПРЦ">'[12]24'!$D$15:$H$15,'[12]24'!$I$6:$L$6,'[12]24'!$I$8:$L$11,'[12]24'!$I$13:$L$18,'[12]24'!$I$20:$L$23,'[12]24'!$I$25:$L$25</definedName>
    <definedName name="T24?unit?ТРУБ">'[12]24'!$D$6:$H$6,'[12]24'!$D$8:$H$11,'[12]24'!$D$13:$H$14,'[12]24'!$D$16:$H$18,'[12]24'!$D$20:$H$23,'[12]24'!$D$25:$H$25</definedName>
    <definedName name="T24_1_Protect">'[12]24.1'!$B$16:$I$19,'[12]24.1'!$B$6:$I$9</definedName>
    <definedName name="T24_Protect">'[12]24'!$B$20:$B$23,'[12]24'!$D$20:$H$23,'[12]24'!$D$13:$H$17,'[12]24'!$B$8:$B$11,'[12]24'!$A$26:$IV$141,'[12]24'!$M$1:$AQ$65536,'[12]24'!$D$8:$H$11</definedName>
    <definedName name="T25?axis?ПРД?БАЗ">'[12]25'!$M$6:$N$49,'[12]25'!$J$6:$K$49</definedName>
    <definedName name="T25?axis?ПРД?ПРЕД">'[12]25'!$O$6:$P$49,'[12]25'!$H$6:$I$49</definedName>
    <definedName name="T25?axis?ПФ?ПЛАН">'[12]25'!$H$6:$H$49,'[12]25'!$M$6:$M$49,'[12]25'!$O$6:$O$49,'[12]25'!$J$6:$J$49</definedName>
    <definedName name="T25?axis?ПФ?ФАКТ">'[12]25'!$I$6:$I$49,'[12]25'!$N$6:$N$49,'[12]25'!$P$6:$P$49,'[12]25'!$K$6:$K$49</definedName>
    <definedName name="T25?item_ext?ПЛОЩАДЬ">'[12]25'!$H$32:$L$32,'[12]25'!$H$27:$L$27,'[12]25'!$H$30:$L$30,'[12]25'!$H$34:$L$34</definedName>
    <definedName name="T25?unit?ГА">'[12]25'!$H$32:$L$32,'[12]25'!$H$27:$L$27,'[12]25'!$H$30:$L$30,'[12]25'!$H$34:$L$34</definedName>
    <definedName name="T25?unit?ТРУБ">'[12]25'!$H$31:$L$31,'[12]25'!$H$6:$L$26,'[12]25'!$H$29:$L$29,'[12]25'!$H$33:$L$33,'[12]25'!$H$36:$L$49</definedName>
    <definedName name="T25_Protect">'[12]25'!$H$7:$L$34,'[12]25'!$H$39:$L$43,'[12]25'!$H$45:$L$49,'[12]25'!$B$7:$B$23,'[12]25'!$A$50:$IV$150,'[12]25'!$Q$1:$BA$65536,'[12]25'!$C$7:$C$34</definedName>
    <definedName name="T26?axis?R?ВРАС">'[12]26'!$D$9:$L$12,'[12]26'!$D$14:$L$15,'[12]26'!$D$17:$L$21,'[12]26'!$D$23:$L$31,'[12]26'!$D$6:$L$7</definedName>
    <definedName name="T26?axis?R?ВРАС?">'[12]26'!$B$9:$B$12,'[12]26'!$B$14:$B$15,'[12]26'!$B$17:$B$21,'[12]26'!$B$23:$B$31,'[12]26'!$B$6:$B$7</definedName>
    <definedName name="T26?axis?ПРД?БАЗ">'[12]26'!$I$6:$J$33,'[12]26'!$F$6:$G$33</definedName>
    <definedName name="T26?axis?ПРД?ПРЕД">'[12]26'!$K$6:$L$33,'[12]26'!$D$6:$E$33</definedName>
    <definedName name="T26?axis?ПФ?ПЛАН">'[12]26'!$I$6:$I$33,'[12]26'!$D$6:$D$33,'[12]26'!$K$6:$K$33,'[12]26'!$F$6:$F$33</definedName>
    <definedName name="T26?axis?ПФ?ФАКТ">'[12]26'!$J$6:$J$33,'[12]26'!$E$6:$E$33,'[12]26'!$L$6:$L$33,'[12]26'!$G$6:$G$33</definedName>
    <definedName name="T26?Data">'[12]26'!$D$9:$L$12,'[12]26'!$D$14:$L$15,'[12]26'!$D$17:$L$21,'[12]26'!$D$23:$L$31,'[12]26'!$D$33:$L$33,'[12]26'!$D$6:$L$7</definedName>
    <definedName name="T26_Protect">'[12]26'!$D$23:$H$31,'[12]26'!$D$9:$H$12,'[12]26'!$B$9:$B$12,'[12]26'!$B$17:$B$21,'[12]26'!$B$25:$B$31,'[12]26'!$D$14:$H$14,'[12]26'!$A$34:$IV$133,'[12]26'!$M$1:$AP$65536,'[12]26'!$D$17:$H$21</definedName>
    <definedName name="T27?axis?ПРД?БАЗ">'[12]27'!$O$6:$P$8,'[12]27'!$L$6:$M$8</definedName>
    <definedName name="T27?axis?ПРД?ПРЕД">'[12]27'!$Q$6:$R$8,'[12]27'!$H$6:$I$8</definedName>
    <definedName name="T27?axis?ПФ?ПЛАН">'[12]27'!$F$6:$F$8,'[12]27'!$H$6:$H$8,'[12]27'!$J$6:$J$8,'[12]27'!$L$6:$L$8,'[12]27'!$O$6:$O$8,'[12]27'!$Q$6:$Q$8,'[12]27'!$D$6:$D$8</definedName>
    <definedName name="T27?axis?ПФ?ФАКТ">'[12]27'!$G$6:$G$8,'[12]27'!$I$6:$I$8,'[12]27'!$K$6:$K$8,'[12]27'!$M$6:$M$8,'[12]27'!$P$6:$P$8,'[12]27'!$R$6:$R$8,'[12]27'!$E$6:$E$8</definedName>
    <definedName name="T27_Protect">'[12]27'!$D$7:$I$8,'[12]27'!$A$9:$IV$109,'[12]27'!$S$1:$AT$65536,'[12]27'!$L$7:$N$8</definedName>
    <definedName name="T28?axis?ПРД?БАЗ">'[12]28'!$I$6:$J$11,'[12]28'!$F$6:$G$11</definedName>
    <definedName name="T28?axis?ПРД?ПРЕД">'[12]28'!$K$6:$L$11,'[12]28'!$D$6:$E$11</definedName>
    <definedName name="T28?axis?ПФ?ПЛАН">'[12]28'!$I$6:$I$11,'[12]28'!$D$6:$D$11,'[12]28'!$K$6:$K$11,'[12]28'!$F$6:$F$11</definedName>
    <definedName name="T28?axis?ПФ?ФАКТ">'[12]28'!$J$6:$J$11,'[12]28'!$E$6:$E$11,'[12]28'!$L$6:$L$11,'[12]28'!$G$6:$G$11</definedName>
    <definedName name="T28?unit?ПРЦ">'[12]28'!$D$7:$H$7,'[12]28'!$I$6:$L$11</definedName>
    <definedName name="T28?unit?ТРУБ">'[12]28'!$D$6:$H$6,'[12]28'!$D$8:$H$11</definedName>
    <definedName name="T28_Protect">'[12]28'!$D$11:$H$11,'[12]28'!$D$6:$H$7,'[12]28'!$A$12:$IV$112,'[12]28'!$M$1:$AP$65536,'[12]28'!$D$9:$H$9</definedName>
    <definedName name="T29?axis?ПРД?БАЗ">'[12]29'!$I$6:$J$31,'[12]29'!$F$6:$G$31</definedName>
    <definedName name="T29?axis?ПРД?ПРЕД">'[12]29'!$K$6:$L$31,'[12]29'!$D$6:$E$31</definedName>
    <definedName name="T29?axis?ПФ?ПЛАН">'[12]29'!$I$6:$I$31,'[12]29'!$D$6:$D$31,'[12]29'!$K$6:$K$31,'[12]29'!$F$6:$F$31</definedName>
    <definedName name="T29?axis?ПФ?ФАКТ">'[12]29'!$J$6:$J$31,'[12]29'!$E$6:$E$31,'[12]29'!$L$6:$L$31,'[12]29'!$G$6:$G$31</definedName>
    <definedName name="T29?Data">'[12]29'!$D$31:$L$31,'[12]29'!$D$7:$L$26</definedName>
    <definedName name="T29_Protect">'[12]29'!$B$7:$B$26,'[12]29'!$A$32:$IV$132,'[12]29'!$M$1:$AP$65536,'[12]29'!$D$7:$L$26</definedName>
    <definedName name="T30?axis?ПФ?ПЛАН">'[12]30'!$F$5:$F$12,'[12]30'!$D$5:$D$12</definedName>
    <definedName name="T30?axis?ПФ?ФАКТ">'[12]30'!$G$5:$G$12,'[12]30'!$E$5:$E$12</definedName>
    <definedName name="T30?Data">'[12]30'!$D$12:$H$12,'[12]30'!$D$6:$H$10</definedName>
    <definedName name="T30_Protect">'[12]30'!$B$6:$B$10,'[12]30'!$A$13:$IV$113,'[12]30'!$I$1:$AI$65536,'[12]30'!$D$6:$H$10</definedName>
    <definedName name="T4?axis?R?ВТОП">'[12]4'!$E$24:$N$36,'[12]4'!$E$39:$N$51,'[12]4'!$E$8:$N$20</definedName>
    <definedName name="T4?axis?R?ВТОП?">'[12]4'!$C$24:$C$36,'[12]4'!$C$8:$C$20,'[12]4'!$C$39:$C$51</definedName>
    <definedName name="T4?axis?R?ДЕТ">'[12]4'!$E$39:$N$51,'[12]4'!$E$8:$N$20,'[12]4'!$E$24:$N$36</definedName>
    <definedName name="T4?axis?R?ДЕТ?">'[12]4'!$B$24:$B$36,'[12]4'!$B$39:$B$51,'[12]4'!$B$8:$B$20</definedName>
    <definedName name="T4?Data">'[12]4'!$E$12:$N$19,'[12]4'!$E$21:$N$21,'[12]4'!$E$23:$N$26,'[12]4'!$E$28:$N$35,'[12]4'!$E$39:$N$41,'[12]4'!$E$43:$N$50,'[12]4'!$E$7:$N$10</definedName>
    <definedName name="T4?Name">'[12]4'!#REF!</definedName>
    <definedName name="T4_ADD_1">'[12]4'!#REF!</definedName>
    <definedName name="T4_Protect" localSheetId="1">'[12]4'!$E$9:$N$10,'[12]4'!$B$9:$B$10,'[12]4'!$B$18:$B$19,'[12]4'!$B$25:$B$26,'[12]4'!$A$53:$IV$152,'[12]4'!$O$1:$AO$65536,'[12]4'!$B$34:$B$35,P1_T4_Protect</definedName>
    <definedName name="T4_Protect" localSheetId="22">'[12]4'!$E$9:$N$10,'[12]4'!$B$9:$B$10,'[12]4'!$B$18:$B$19,'[12]4'!$B$25:$B$26,'[12]4'!$A$53:$IV$152,'[12]4'!$O$1:$AO$65536,'[12]4'!$B$34:$B$35,P1_T4_Protect</definedName>
    <definedName name="T4_Protect" localSheetId="9">'[12]4'!$E$9:$N$10,'[12]4'!$B$9:$B$10,'[12]4'!$B$18:$B$19,'[12]4'!$B$25:$B$26,'[12]4'!$A$53:$IV$152,'[12]4'!$O$1:$AO$65536,'[12]4'!$B$34:$B$35,P1_T4_Protect</definedName>
    <definedName name="T4_Protect" localSheetId="12">'[12]4'!$E$9:$N$10,'[12]4'!$B$9:$B$10,'[12]4'!$B$18:$B$19,'[12]4'!$B$25:$B$26,'[12]4'!$A$53:$IV$152,'[12]4'!$O$1:$AO$65536,'[12]4'!$B$34:$B$35,P1_T4_Protect</definedName>
    <definedName name="T4_Protect" localSheetId="28">'[12]4'!$E$9:$N$10,'[12]4'!$B$9:$B$10,'[12]4'!$B$18:$B$19,'[12]4'!$B$25:$B$26,'[12]4'!$A$53:$IV$152,'[12]4'!$O$1:$AO$65536,'[12]4'!$B$34:$B$35,P1_T4_Protect</definedName>
    <definedName name="T4_Protect" localSheetId="25">'[12]4'!$E$9:$N$10,'[12]4'!$B$9:$B$10,'[12]4'!$B$18:$B$19,'[12]4'!$B$25:$B$26,'[12]4'!$A$53:$IV$152,'[12]4'!$O$1:$AO$65536,'[12]4'!$B$34:$B$35,P1_T4_Protect</definedName>
    <definedName name="T4_Protect" localSheetId="26">'[12]4'!$E$9:$N$10,'[12]4'!$B$9:$B$10,'[12]4'!$B$18:$B$19,'[12]4'!$B$25:$B$26,'[12]4'!$A$53:$IV$152,'[12]4'!$O$1:$AO$65536,'[12]4'!$B$34:$B$35,P1_T4_Protect</definedName>
    <definedName name="T4_Protect" localSheetId="27">'[12]4'!$E$9:$N$10,'[12]4'!$B$9:$B$10,'[12]4'!$B$18:$B$19,'[12]4'!$B$25:$B$26,'[12]4'!$A$53:$IV$152,'[12]4'!$O$1:$AO$65536,'[12]4'!$B$34:$B$35,P1_T4_Protect</definedName>
    <definedName name="T4_Protect" localSheetId="13">'[12]4'!$E$9:$N$10,'[12]4'!$B$9:$B$10,'[12]4'!$B$18:$B$19,'[12]4'!$B$25:$B$26,'[12]4'!$A$53:$IV$152,'[12]4'!$O$1:$AO$65536,'[12]4'!$B$34:$B$35,P1_T4_Protect</definedName>
    <definedName name="T4_Protect">'[12]4'!$E$9:$N$10,'[12]4'!$B$9:$B$10,'[12]4'!$B$18:$B$19,'[12]4'!$B$25:$B$26,'[12]4'!$A$53:$IV$152,'[12]4'!$O$1:$AO$65536,'[12]4'!$B$34:$B$35,P1_T4_Protect</definedName>
    <definedName name="T5?axis?R?ОС">'[12]5'!$E$7:$Q$19,'[12]5'!$E$22:$Q$34,'[12]5'!$E$37:$Q$49,'[12]5'!$E$52:$Q$64,'[12]5'!$E$67:$Q$79,'[12]5'!$E$82:$Q$94</definedName>
    <definedName name="T5?axis?R?ОС?">'[12]5'!$C$82:$C$94,'[12]5'!$C$67:$C$79,'[12]5'!$C$52:$C$64,'[12]5'!$C$37:$C$49,'[12]5'!$C$22:$C$34,'[12]5'!$C$7:$C$19</definedName>
    <definedName name="T5?axis?ПРД?БАЗ">'[12]5'!$N$6:$O$95,'[12]5'!$G$6:$H$95</definedName>
    <definedName name="T5?axis?ПРД?ПРЕД">'[12]5'!$P$6:$Q$95,'[12]5'!$E$6:$F$95</definedName>
    <definedName name="T5?axis?ПФ?ПЛАН">'[12]5'!$G$6:$G$95,'[12]5'!$N$6:$N$95,'[12]5'!$P$6:$P$95,'[12]5'!$E$6:$E$95</definedName>
    <definedName name="T5?axis?ПФ?ФАКТ">'[12]5'!$H$6:$H$95,'[12]5'!$O$6:$O$95,'[12]5'!$Q$6:$Q$95,'[12]5'!$F$6:$F$95</definedName>
    <definedName name="T5?Data">'[12]5'!$E$6:$Q$19,'[12]5'!$E$21:$Q$34,'[12]5'!$E$36:$Q$49,'[12]5'!$E$51:$Q$64,'[12]5'!$E$67:$Q$79,'[12]5'!$E$81:$Q$94</definedName>
    <definedName name="T5?unit?ПРЦ">'[12]5'!$N$6:$Q$19,'[12]5'!$N$21:$Q$34,'[12]5'!$N$36:$Q$49,'[12]5'!$N$51:$Q$64,'[12]5'!$E$67:$Q$79,'[12]5'!$N$81:$Q$94</definedName>
    <definedName name="T5?unit?ТРУБ">'[12]5'!$E$81:$M$94,'[12]5'!$E$51:$M$64,'[12]5'!$E$36:$M$49,'[12]5'!$E$21:$M$34,'[12]5'!$E$6:$M$19</definedName>
    <definedName name="T5_Protect" localSheetId="1">'[12]5'!$J$22:$M$24,'[12]5'!$E$26:$H$34,'[12]5'!$J$26:$M$34,'[12]5'!$E$37:$H$39,'[12]5'!$J$37:$M$39,'[12]5'!$A$96:$IV$196,'[12]5'!$R$1:$AU$65536,'[12]5'!$E$41:$H$49,P1_T5_Protect</definedName>
    <definedName name="T5_Protect" localSheetId="22">'[12]5'!$J$22:$M$24,'[12]5'!$E$26:$H$34,'[12]5'!$J$26:$M$34,'[12]5'!$E$37:$H$39,'[12]5'!$J$37:$M$39,'[12]5'!$A$96:$IV$196,'[12]5'!$R$1:$AU$65536,'[12]5'!$E$41:$H$49,P1_T5_Protect</definedName>
    <definedName name="T5_Protect" localSheetId="9">'[12]5'!$J$22:$M$24,'[12]5'!$E$26:$H$34,'[12]5'!$J$26:$M$34,'[12]5'!$E$37:$H$39,'[12]5'!$J$37:$M$39,'[12]5'!$A$96:$IV$196,'[12]5'!$R$1:$AU$65536,'[12]5'!$E$41:$H$49,P1_T5_Protect</definedName>
    <definedName name="T5_Protect" localSheetId="12">'[12]5'!$J$22:$M$24,'[12]5'!$E$26:$H$34,'[12]5'!$J$26:$M$34,'[12]5'!$E$37:$H$39,'[12]5'!$J$37:$M$39,'[12]5'!$A$96:$IV$196,'[12]5'!$R$1:$AU$65536,'[12]5'!$E$41:$H$49,P1_T5_Protect</definedName>
    <definedName name="T5_Protect" localSheetId="28">'[12]5'!$J$22:$M$24,'[12]5'!$E$26:$H$34,'[12]5'!$J$26:$M$34,'[12]5'!$E$37:$H$39,'[12]5'!$J$37:$M$39,'[12]5'!$A$96:$IV$196,'[12]5'!$R$1:$AU$65536,'[12]5'!$E$41:$H$49,P1_T5_Protect</definedName>
    <definedName name="T5_Protect" localSheetId="25">'[12]5'!$J$22:$M$24,'[12]5'!$E$26:$H$34,'[12]5'!$J$26:$M$34,'[12]5'!$E$37:$H$39,'[12]5'!$J$37:$M$39,'[12]5'!$A$96:$IV$196,'[12]5'!$R$1:$AU$65536,'[12]5'!$E$41:$H$49,P1_T5_Protect</definedName>
    <definedName name="T5_Protect" localSheetId="26">'[12]5'!$J$22:$M$24,'[12]5'!$E$26:$H$34,'[12]5'!$J$26:$M$34,'[12]5'!$E$37:$H$39,'[12]5'!$J$37:$M$39,'[12]5'!$A$96:$IV$196,'[12]5'!$R$1:$AU$65536,'[12]5'!$E$41:$H$49,P1_T5_Protect</definedName>
    <definedName name="T5_Protect" localSheetId="27">'[12]5'!$J$22:$M$24,'[12]5'!$E$26:$H$34,'[12]5'!$J$26:$M$34,'[12]5'!$E$37:$H$39,'[12]5'!$J$37:$M$39,'[12]5'!$A$96:$IV$196,'[12]5'!$R$1:$AU$65536,'[12]5'!$E$41:$H$49,P1_T5_Protect</definedName>
    <definedName name="T5_Protect" localSheetId="13">'[12]5'!$J$22:$M$24,'[12]5'!$E$26:$H$34,'[12]5'!$J$26:$M$34,'[12]5'!$E$37:$H$39,'[12]5'!$J$37:$M$39,'[12]5'!$A$96:$IV$196,'[12]5'!$R$1:$AU$65536,'[12]5'!$E$41:$H$49,P1_T5_Protect</definedName>
    <definedName name="T5_Protect">'[12]5'!$J$22:$M$24,'[12]5'!$E$26:$H$34,'[12]5'!$J$26:$M$34,'[12]5'!$E$37:$H$39,'[12]5'!$J$37:$M$39,'[12]5'!$A$96:$IV$196,'[12]5'!$R$1:$AU$65536,'[12]5'!$E$41:$H$49,P1_T5_Protect</definedName>
    <definedName name="T6.1_Protect">'[12]6.1'!$C$6:$J$6,'[12]6.1'!$L$6,'[12]6.1'!$A$7:$IV$106,'[12]6.1'!$M$1:$AM$65536,'[12]6.1'!$C$5:$C$6</definedName>
    <definedName name="T6?axis?ПРД?БАЗ">'[12]6'!$I$6:$J$57,'[12]6'!$F$6:$G$57</definedName>
    <definedName name="T6?axis?ПРД?ПРЕД">'[12]6'!$K$6:$L$57,'[12]6'!$D$6:$E$57</definedName>
    <definedName name="T6?axis?ПФ?ПЛАН">'[12]6'!$I$6:$I$57,'[12]6'!$D$6:$D$57,'[12]6'!$K$6:$K$57,'[12]6'!$F$6:$F$57</definedName>
    <definedName name="T6?axis?ПФ?ФАКТ">'[12]6'!$J$6:$J$57,'[12]6'!$L$6:$L$57,'[12]6'!$E$6:$E$57,'[12]6'!$G$6:$G$57</definedName>
    <definedName name="T6?Data">'[12]6'!$D$7:$L$14,'[12]6'!$D$16:$L$19,'[12]6'!$D$21:$L$22,'[12]6'!$D$24:$L$25,'[12]6'!$D$27:$L$28,'[12]6'!$D$30:$L$31,'[12]6'!$D$39:$L$41,'[12]6'!$D$43:$L$49,'[12]6'!$D$51:$L$57</definedName>
    <definedName name="T6?unit?ПРЦ">'[12]6'!$D$12:$H$12,'[12]6'!$D$21:$H$21,'[12]6'!$D$24:$H$24,'[12]6'!$D$27:$H$27,'[12]6'!$D$30:$H$30,'[12]6'!$D$39:$H$39,'[12]6'!$D$57:$H$57,'[12]6'!$I$7:$L$57</definedName>
    <definedName name="T6?unit?РУБ">'[12]6'!$D$16:$H$16,'[12]6'!$D$19:$H$19,'[12]6'!$D$22:$H$22,'[12]6'!$D$25:$H$25,'[12]6'!$D$28:$H$28,'[12]6'!$D$31:$H$31,'[12]6'!$D$40:$H$41,'[12]6'!$D$53:$H$53</definedName>
    <definedName name="T6?unit?ТРУБ">'[12]6'!$D$43:$H$49,'[12]6'!$D$54:$H$56</definedName>
    <definedName name="T6?unit?ЧЕЛ">'[12]6'!$D$51:$H$52,'[12]6'!$D$13:$H$14,'[12]6'!$D$7:$H$11</definedName>
    <definedName name="T6_1_Protect">'[12]6.1'!$C$6:$J$6,'[12]6.1'!$L$6,'[12]6.1'!$C$5</definedName>
    <definedName name="T6_Protect" localSheetId="1">P1_T6_Protect,P2_T6_Protect</definedName>
    <definedName name="T6_Protect" localSheetId="22">P1_T6_Protect,P2_T6_Protect</definedName>
    <definedName name="T6_Protect" localSheetId="9">P1_T6_Protect,P2_T6_Protect</definedName>
    <definedName name="T6_Protect" localSheetId="12">P1_T6_Protect,P2_T6_Protect</definedName>
    <definedName name="T6_Protect" localSheetId="28">P1_T6_Protect,P2_T6_Protect</definedName>
    <definedName name="T6_Protect" localSheetId="25">P1_T6_Protect,P2_T6_Protect</definedName>
    <definedName name="T6_Protect" localSheetId="26">P1_T6_Protect,P2_T6_Protect</definedName>
    <definedName name="T6_Protect" localSheetId="27">P1_T6_Protect,P2_T6_Protect</definedName>
    <definedName name="T6_Protect" localSheetId="13">P1_T6_Protect,P2_T6_Protect</definedName>
    <definedName name="T6_Protect">P1_T6_Protect,P2_T6_Protect</definedName>
    <definedName name="T7?axis?ПРД?БАЗ">'[12]7'!$I$6:$J$18,'[12]7'!$F$6:$G$18</definedName>
    <definedName name="T7?axis?ПРД?ПРЕД">'[12]7'!$K$6:$L$18,'[12]7'!$D$6:$E$18</definedName>
    <definedName name="T7?axis?ПФ?ПЛАН">'[12]7'!$I$6:$I$18,'[12]7'!$D$6:$D$18,'[12]7'!$K$6:$K$18,'[12]7'!$F$6:$F$18</definedName>
    <definedName name="T7?axis?ПФ?ФАКТ">'[12]7'!$J$6:$J$18,'[12]7'!$E$6:$E$18,'[12]7'!$L$6:$L$18,'[12]7'!$G$6:$G$18</definedName>
    <definedName name="T7?Data">'[12]7'!$D$18:$L$18,'[12]7'!$D$6:$L$16</definedName>
    <definedName name="T7_Protect">'[12]7'!$B$8:$B$16,'[12]7'!$A$19:$IV$118,'[12]7'!$P$1:$AT$65536,'[12]7'!$D$6:$H$16</definedName>
    <definedName name="T8?axis?ПРД?БАЗ">'[12]8'!$I$6:$J$42,'[12]8'!$F$6:$G$42</definedName>
    <definedName name="T8?axis?ПРД?ПРЕД">'[12]8'!$K$6:$L$42,'[12]8'!$D$6:$E$42</definedName>
    <definedName name="T8?axis?ПФ?ПЛАН">'[12]8'!$I$6:$I$42,'[12]8'!$D$6:$D$42,'[12]8'!$K$6:$K$42,'[12]8'!$F$6:$F$42</definedName>
    <definedName name="T8?axis?ПФ?ФАКТ">'[12]8'!$G$6:$G$42,'[12]8'!$J$6:$J$42,'[12]8'!$L$6:$L$42,'[12]8'!$E$6:$E$42</definedName>
    <definedName name="T8?Data">'[12]8'!$D$10:$L$12,'[12]8'!$D$14:$L$16,'[12]8'!$D$18:$L$20,'[12]8'!$D$22:$L$24,'[12]8'!$D$26:$L$28,'[12]8'!$D$30:$L$32,'[12]8'!$D$36:$L$38,'[12]8'!$D$40:$L$42,'[12]8'!$D$6:$L$8</definedName>
    <definedName name="T8?unit?ТРУБ">'[12]8'!$D$40:$H$42,'[12]8'!$D$6:$H$32</definedName>
    <definedName name="T8_Protect">'[12]8'!$D$19:$H$20,'[12]8'!$D$23:$H$24,'[12]8'!$D$27:$H$28,'[12]8'!$D$36:$H$38,'[12]8'!$D$41:$H$42,'[12]8'!$D$11:$H$12,'[12]8'!$A$43:$IV$175,'[12]8'!$M$1:$AP$65536,'[12]8'!$D$15:$H$16</definedName>
    <definedName name="T9?axis?ПРД?БАЗ">'[12]9'!$I$6:$J$21,'[12]9'!$F$6:$G$21</definedName>
    <definedName name="T9?axis?ПРД?ПРЕД">'[12]9'!$K$6:$L$21,'[12]9'!$D$6:$E$21</definedName>
    <definedName name="T9?axis?ПФ?ПЛАН">'[12]9'!$I$6:$I$21,'[12]9'!$D$6:$D$21,'[12]9'!$K$6:$K$21,'[12]9'!$F$6:$F$21</definedName>
    <definedName name="T9?axis?ПФ?ФАКТ">'[12]9'!$J$6:$J$21,'[12]9'!$E$6:$E$21,'[12]9'!$L$6:$L$21,'[12]9'!$G$6:$G$21</definedName>
    <definedName name="T9?Data">'[12]9'!$D$16:$L$21,'[12]9'!$D$6:$L$8,'[12]9'!$D$10:$L$14</definedName>
    <definedName name="T9?unit?ПРЦ">'[12]9'!$D$11:$H$11,'[12]9'!$I$6:$L$21</definedName>
    <definedName name="T9?unit?РУБ.МВТЧ">'[12]9'!$D$19:$H$19,'[12]9'!$D$16:$H$16</definedName>
    <definedName name="T9?unit?ТРУБ">'[12]9'!$D$14:$H$14,'[12]9'!$D$8:$L$8,'[12]9'!$D$12:$L$12,'[12]9'!$D$17:$H$17,'[12]9'!$D$10:$L$10,'[12]9'!$D$20:$H$21</definedName>
    <definedName name="T9_Protect">'[12]9'!$D$16:$H$16,'[12]9'!$D$17:$F$17,'[12]9'!$D$19:$H$19,'[12]9'!$D$20:$F$20,'[12]9'!$D$7:$E$7,'[12]9'!$D$8:$G$8,'[12]9'!$D$11:$H$13,'[12]9'!$A$22:$IV$122,'[12]9'!$M$1:$AL$65536,'[12]9'!$D$14:$F$14</definedName>
    <definedName name="TESList">[13]Лист!$A$400</definedName>
    <definedName name="trns" localSheetId="25">#REF!</definedName>
    <definedName name="trns" localSheetId="26">#REF!</definedName>
    <definedName name="trns" localSheetId="27">#REF!</definedName>
    <definedName name="trns">#REF!</definedName>
    <definedName name="Variable_cost_per_unit" localSheetId="6">#REF!</definedName>
    <definedName name="Variable_cost_per_unit" localSheetId="9">#REF!</definedName>
    <definedName name="Variable_cost_per_unit" localSheetId="25">#REF!</definedName>
    <definedName name="Variable_cost_per_unit" localSheetId="26">#REF!</definedName>
    <definedName name="Variable_cost_per_unit" localSheetId="27">#REF!</definedName>
    <definedName name="Variable_cost_per_unit">#REF!</definedName>
    <definedName name="VDOC">#REF!</definedName>
    <definedName name="version">[8]Инструкция!$G$3</definedName>
    <definedName name="wrn.Сравнение._.с._.отраслями." localSheetId="1" hidden="1">{#N/A,#N/A,TRUE,"Лист1";#N/A,#N/A,TRUE,"Лист2";#N/A,#N/A,TRUE,"Лист3"}</definedName>
    <definedName name="wrn.Сравнение._.с._.отраслями." localSheetId="22" hidden="1">{#N/A,#N/A,TRUE,"Лист1";#N/A,#N/A,TRUE,"Лист2";#N/A,#N/A,TRUE,"Лист3"}</definedName>
    <definedName name="wrn.Сравнение._.с._.отраслями." localSheetId="9" hidden="1">{#N/A,#N/A,TRUE,"Лист1";#N/A,#N/A,TRUE,"Лист2";#N/A,#N/A,TRUE,"Лист3"}</definedName>
    <definedName name="wrn.Сравнение._.с._.отраслями." localSheetId="12" hidden="1">{#N/A,#N/A,TRUE,"Лист1";#N/A,#N/A,TRUE,"Лист2";#N/A,#N/A,TRUE,"Лист3"}</definedName>
    <definedName name="wrn.Сравнение._.с._.отраслями." localSheetId="28" hidden="1">{#N/A,#N/A,TRUE,"Лист1";#N/A,#N/A,TRUE,"Лист2";#N/A,#N/A,TRUE,"Лист3"}</definedName>
    <definedName name="wrn.Сравнение._.с._.отраслями." localSheetId="25" hidden="1">{#N/A,#N/A,TRUE,"Лист1";#N/A,#N/A,TRUE,"Лист2";#N/A,#N/A,TRUE,"Лист3"}</definedName>
    <definedName name="wrn.Сравнение._.с._.отраслями." localSheetId="26" hidden="1">{#N/A,#N/A,TRUE,"Лист1";#N/A,#N/A,TRUE,"Лист2";#N/A,#N/A,TRUE,"Лист3"}</definedName>
    <definedName name="wrn.Сравнение._.с._.отраслями." localSheetId="27" hidden="1">{#N/A,#N/A,TRUE,"Лист1";#N/A,#N/A,TRUE,"Лист2";#N/A,#N/A,TRUE,"Лист3"}</definedName>
    <definedName name="wrn.Сравнение._.с._.отраслями." localSheetId="13" hidden="1">{#N/A,#N/A,TRUE,"Лист1";#N/A,#N/A,TRUE,"Лист2";#N/A,#N/A,TRUE,"Лист3"}</definedName>
    <definedName name="wrn.Сравнение._.с._.отраслями." hidden="1">{#N/A,#N/A,TRUE,"Лист1";#N/A,#N/A,TRUE,"Лист2";#N/A,#N/A,TRUE,"Лист3"}</definedName>
    <definedName name="Year">'[16]Титульный лист'!$J$107</definedName>
    <definedName name="year_range">[7]TEHSHEET!$C$2:$C$15</definedName>
    <definedName name="а">'[17]Вспомогат(по месяцам)'!#REF!</definedName>
    <definedName name="а1">#REF!</definedName>
    <definedName name="А138" localSheetId="6">'[18]виды д-ти'!$B$348</definedName>
    <definedName name="А138" localSheetId="9">'[19]виды д-ти'!$B$348</definedName>
    <definedName name="А138">'[20]виды д-ти'!$B$348</definedName>
    <definedName name="А180">#REF!</definedName>
    <definedName name="А1C1">#REF!</definedName>
    <definedName name="А474" localSheetId="6">'[18]виды д-ти'!$B$421:$B$422</definedName>
    <definedName name="А474" localSheetId="9">'[19]виды д-ти'!$B$421:$B$422</definedName>
    <definedName name="А474">'[20]виды д-ти'!$B$421:$B$422</definedName>
    <definedName name="ааа">#N/A</definedName>
    <definedName name="аааа">#N/A</definedName>
    <definedName name="аавыы">#REF!</definedName>
    <definedName name="ааыа">#REF!</definedName>
    <definedName name="абон.пл">#N/A</definedName>
    <definedName name="Абый">#N/A</definedName>
    <definedName name="ав">#N/A</definedName>
    <definedName name="авпра">[21]!Котельные</definedName>
    <definedName name="аврвар">[21]!Классы_отапливаемых_объектов</definedName>
    <definedName name="авркер">#REF!</definedName>
    <definedName name="авт">#N/A</definedName>
    <definedName name="Алдан">#N/A</definedName>
    <definedName name="алена">'[22]Вспомогат(по месяцам)'!#REF!</definedName>
    <definedName name="Аллаих">#N/A</definedName>
    <definedName name="Аллаиха">'[17]Вспомогат(по месяцам)'!#REF!</definedName>
    <definedName name="алр">'[23]Общий свод (2)'!#REF!</definedName>
    <definedName name="амга">#REF!</definedName>
    <definedName name="Амга2">#N/A</definedName>
    <definedName name="Анабар">'[17]Вспомогат(по месяцам)'!#REF!</definedName>
    <definedName name="Анализ">#N/A</definedName>
    <definedName name="анр">#N/A</definedName>
    <definedName name="аоав">#REF!</definedName>
    <definedName name="аол">#N/A</definedName>
    <definedName name="аолдо">#N/A</definedName>
    <definedName name="ап">#REF!</definedName>
    <definedName name="апа">#N/A</definedName>
    <definedName name="апв">'[17]Вспомогат(по месяцам)'!#REF!</definedName>
    <definedName name="апвып">[21]!Виды_ТЭР</definedName>
    <definedName name="апе">#N/A</definedName>
    <definedName name="апоао">'[23]Общий свод (2)'!#REF!</definedName>
    <definedName name="апорап">#REF!</definedName>
    <definedName name="апра">#REF!</definedName>
    <definedName name="апрарк">[24]!Предприятия_ЖКХ</definedName>
    <definedName name="апрель">#N/A</definedName>
    <definedName name="аропналдвг">#N/A</definedName>
    <definedName name="ауццау">#REF!</definedName>
    <definedName name="аше">#N/A</definedName>
    <definedName name="б">#N/A</definedName>
    <definedName name="_xlnm.Database">#REF!</definedName>
    <definedName name="БазовыйПериод">[25]Заголовок!$B$15</definedName>
    <definedName name="Бланк">#N/A</definedName>
    <definedName name="бммтти">'[22]Вспомогат(по месяцам)'!#REF!</definedName>
    <definedName name="БС">[26]Справочники!$A$4:$A$6</definedName>
    <definedName name="булун">#REF!</definedName>
    <definedName name="Булун1">'[17]Вспомогат(по месяцам)'!#REF!</definedName>
    <definedName name="в">#N/A</definedName>
    <definedName name="в23ё">#N/A</definedName>
    <definedName name="валера">[27]!Улусы</definedName>
    <definedName name="валя">#N/A</definedName>
    <definedName name="вапв" localSheetId="1">P1_T2.1?Protection</definedName>
    <definedName name="вапв" localSheetId="22">P1_T2.1?Protection</definedName>
    <definedName name="вапв" localSheetId="9">P1_T2.1?Protection</definedName>
    <definedName name="вапв" localSheetId="12">P1_T2.1?Protection</definedName>
    <definedName name="вапв" localSheetId="28">P1_T2.1?Protection</definedName>
    <definedName name="вапв" localSheetId="25">P1_T2.1?Protection</definedName>
    <definedName name="вапв" localSheetId="26">P1_T2.1?Protection</definedName>
    <definedName name="вапв" localSheetId="27">P1_T2.1?Protection</definedName>
    <definedName name="вапв" localSheetId="13">P1_T2.1?Protection</definedName>
    <definedName name="вапв">P1_T2.1?Protection</definedName>
    <definedName name="вв">#N/A</definedName>
    <definedName name="ввв">#N/A</definedName>
    <definedName name="вввв">#N/A</definedName>
    <definedName name="ввввввввв">#REF!</definedName>
    <definedName name="вввыф">#N/A</definedName>
    <definedName name="ВВил">'[17]Вспомогат(по месяцам)'!#REF!</definedName>
    <definedName name="верхневил">#REF!</definedName>
    <definedName name="верхнекол">#REF!</definedName>
    <definedName name="верхоян">#REF!</definedName>
    <definedName name="Виды_ГСМ" localSheetId="12">[28]!Виды_ГСМ</definedName>
    <definedName name="Виды_ГСМ" localSheetId="28">[29]!Виды_ГСМ</definedName>
    <definedName name="Виды_ГСМ" localSheetId="13">[28]!Виды_ГСМ</definedName>
    <definedName name="Виды_ГСМ">[30]!Виды_ГСМ</definedName>
    <definedName name="Виды_МБП" localSheetId="12">[28]!Виды_МБП</definedName>
    <definedName name="Виды_МБП" localSheetId="28">[29]!Виды_МБП</definedName>
    <definedName name="Виды_МБП" localSheetId="13">[28]!Виды_МБП</definedName>
    <definedName name="Виды_МБП">[30]!Виды_МБП</definedName>
    <definedName name="Виды_ППТН" localSheetId="12">[28]!Виды_ППТН</definedName>
    <definedName name="Виды_ППТН" localSheetId="28">[29]!Виды_ППТН</definedName>
    <definedName name="Виды_ППТН" localSheetId="13">[28]!Виды_ППТН</definedName>
    <definedName name="Виды_ППТН">[30]!Виды_ППТН</definedName>
    <definedName name="Виды_работ" localSheetId="12">[28]!Виды_работ</definedName>
    <definedName name="Виды_работ" localSheetId="28">[29]!Виды_работ</definedName>
    <definedName name="Виды_работ" localSheetId="13">[28]!Виды_работ</definedName>
    <definedName name="Виды_работ">[30]!Виды_работ</definedName>
    <definedName name="Виды_транспорта" localSheetId="12">[28]!Виды_транспорта</definedName>
    <definedName name="Виды_транспорта" localSheetId="28">[29]!Виды_транспорта</definedName>
    <definedName name="Виды_транспорта" localSheetId="13">[28]!Виды_транспорта</definedName>
    <definedName name="Виды_транспорта">[30]!Виды_транспорта</definedName>
    <definedName name="Виды_ТЭР" localSheetId="12">[28]!Виды_ТЭР</definedName>
    <definedName name="Виды_ТЭР" localSheetId="28">[29]!Виды_ТЭР</definedName>
    <definedName name="Виды_ТЭР" localSheetId="13">[28]!Виды_ТЭР</definedName>
    <definedName name="Виды_ТЭР">[30]!Виды_ТЭР</definedName>
    <definedName name="Виды_услуг" localSheetId="12">[28]!Виды_услуг</definedName>
    <definedName name="Виды_услуг" localSheetId="28">[29]!Виды_услуг</definedName>
    <definedName name="Виды_услуг" localSheetId="13">[28]!Виды_услуг</definedName>
    <definedName name="Виды_услуг">[30]!Виды_услуг</definedName>
    <definedName name="Виды_целевого_обслуживания" localSheetId="12">[28]!Виды_целевого_обслуживания</definedName>
    <definedName name="Виды_целевого_обслуживания" localSheetId="28">[29]!Виды_целевого_обслуживания</definedName>
    <definedName name="Виды_целевого_обслуживания" localSheetId="13">[28]!Виды_целевого_обслуживания</definedName>
    <definedName name="Виды_целевого_обслуживания">[30]!Виды_целевого_обслуживания</definedName>
    <definedName name="вилюй">#REF!</definedName>
    <definedName name="Вкол">#REF!</definedName>
    <definedName name="внутр">#N/A</definedName>
    <definedName name="вод">#N/A</definedName>
    <definedName name="водит">#REF!</definedName>
    <definedName name="водовоз">[31]!Единицы_измерения</definedName>
    <definedName name="вохр">#REF!</definedName>
    <definedName name="вр">#N/A</definedName>
    <definedName name="вррв">#REF!</definedName>
    <definedName name="Всего_ФОТ">#REF!</definedName>
    <definedName name="всп.премия">#REF!</definedName>
    <definedName name="вспом.">#REF!</definedName>
    <definedName name="вспомог">#REF!</definedName>
    <definedName name="второй">#REF!</definedName>
    <definedName name="вуув" localSheetId="1" hidden="1">{#N/A,#N/A,TRUE,"Лист1";#N/A,#N/A,TRUE,"Лист2";#N/A,#N/A,TRUE,"Лист3"}</definedName>
    <definedName name="вуув" localSheetId="22" hidden="1">{#N/A,#N/A,TRUE,"Лист1";#N/A,#N/A,TRUE,"Лист2";#N/A,#N/A,TRUE,"Лист3"}</definedName>
    <definedName name="вуув" localSheetId="9" hidden="1">{#N/A,#N/A,TRUE,"Лист1";#N/A,#N/A,TRUE,"Лист2";#N/A,#N/A,TRUE,"Лист3"}</definedName>
    <definedName name="вуув" localSheetId="12" hidden="1">{#N/A,#N/A,TRUE,"Лист1";#N/A,#N/A,TRUE,"Лист2";#N/A,#N/A,TRUE,"Лист3"}</definedName>
    <definedName name="вуув" localSheetId="28" hidden="1">{#N/A,#N/A,TRUE,"Лист1";#N/A,#N/A,TRUE,"Лист2";#N/A,#N/A,TRUE,"Лист3"}</definedName>
    <definedName name="вуув" localSheetId="25" hidden="1">{#N/A,#N/A,TRUE,"Лист1";#N/A,#N/A,TRUE,"Лист2";#N/A,#N/A,TRUE,"Лист3"}</definedName>
    <definedName name="вуув" localSheetId="26" hidden="1">{#N/A,#N/A,TRUE,"Лист1";#N/A,#N/A,TRUE,"Лист2";#N/A,#N/A,TRUE,"Лист3"}</definedName>
    <definedName name="вуув" localSheetId="27" hidden="1">{#N/A,#N/A,TRUE,"Лист1";#N/A,#N/A,TRUE,"Лист2";#N/A,#N/A,TRUE,"Лист3"}</definedName>
    <definedName name="вуув" localSheetId="13" hidden="1">{#N/A,#N/A,TRUE,"Лист1";#N/A,#N/A,TRUE,"Лист2";#N/A,#N/A,TRUE,"Лист3"}</definedName>
    <definedName name="вуув" hidden="1">{#N/A,#N/A,TRUE,"Лист1";#N/A,#N/A,TRUE,"Лист2";#N/A,#N/A,TRUE,"Лист3"}</definedName>
    <definedName name="вцй">#REF!</definedName>
    <definedName name="вы">#N/A</definedName>
    <definedName name="вывоз">#N/A</definedName>
    <definedName name="газкот">#REF!</definedName>
    <definedName name="гараж">#N/A</definedName>
    <definedName name="гздшгд">[21]!ТМЦ</definedName>
    <definedName name="гидроцех">#REF!</definedName>
    <definedName name="гкал">#N/A</definedName>
    <definedName name="гло">#N/A</definedName>
    <definedName name="гнщнгш">'[23]Общий свод (2)'!#REF!</definedName>
    <definedName name="горный">#REF!</definedName>
    <definedName name="горяч">#REF!</definedName>
    <definedName name="горяч1">#REF!</definedName>
    <definedName name="горяч3">#REF!</definedName>
    <definedName name="грприрцфв00ав98" localSheetId="1" hidden="1">{#N/A,#N/A,TRUE,"Лист1";#N/A,#N/A,TRUE,"Лист2";#N/A,#N/A,TRUE,"Лист3"}</definedName>
    <definedName name="грприрцфв00ав98" localSheetId="22" hidden="1">{#N/A,#N/A,TRUE,"Лист1";#N/A,#N/A,TRUE,"Лист2";#N/A,#N/A,TRUE,"Лист3"}</definedName>
    <definedName name="грприрцфв00ав98" localSheetId="9" hidden="1">{#N/A,#N/A,TRUE,"Лист1";#N/A,#N/A,TRUE,"Лист2";#N/A,#N/A,TRUE,"Лист3"}</definedName>
    <definedName name="грприрцфв00ав98" localSheetId="12" hidden="1">{#N/A,#N/A,TRUE,"Лист1";#N/A,#N/A,TRUE,"Лист2";#N/A,#N/A,TRUE,"Лист3"}</definedName>
    <definedName name="грприрцфв00ав98" localSheetId="28" hidden="1">{#N/A,#N/A,TRUE,"Лист1";#N/A,#N/A,TRUE,"Лист2";#N/A,#N/A,TRUE,"Лист3"}</definedName>
    <definedName name="грприрцфв00ав98" localSheetId="25" hidden="1">{#N/A,#N/A,TRUE,"Лист1";#N/A,#N/A,TRUE,"Лист2";#N/A,#N/A,TRUE,"Лист3"}</definedName>
    <definedName name="грприрцфв00ав98" localSheetId="26" hidden="1">{#N/A,#N/A,TRUE,"Лист1";#N/A,#N/A,TRUE,"Лист2";#N/A,#N/A,TRUE,"Лист3"}</definedName>
    <definedName name="грприрцфв00ав98" localSheetId="27" hidden="1">{#N/A,#N/A,TRUE,"Лист1";#N/A,#N/A,TRUE,"Лист2";#N/A,#N/A,TRUE,"Лист3"}</definedName>
    <definedName name="грприрцфв00ав98" localSheetId="13" hidden="1">{#N/A,#N/A,TRUE,"Лист1";#N/A,#N/A,TRUE,"Лист2";#N/A,#N/A,TRUE,"Лист3"}</definedName>
    <definedName name="грприрцфв00ав98" hidden="1">{#N/A,#N/A,TRUE,"Лист1";#N/A,#N/A,TRUE,"Лист2";#N/A,#N/A,TRUE,"Лист3"}</definedName>
    <definedName name="грфинцкавг98Х" localSheetId="1" hidden="1">{#N/A,#N/A,TRUE,"Лист1";#N/A,#N/A,TRUE,"Лист2";#N/A,#N/A,TRUE,"Лист3"}</definedName>
    <definedName name="грфинцкавг98Х" localSheetId="22" hidden="1">{#N/A,#N/A,TRUE,"Лист1";#N/A,#N/A,TRUE,"Лист2";#N/A,#N/A,TRUE,"Лист3"}</definedName>
    <definedName name="грфинцкавг98Х" localSheetId="9" hidden="1">{#N/A,#N/A,TRUE,"Лист1";#N/A,#N/A,TRUE,"Лист2";#N/A,#N/A,TRUE,"Лист3"}</definedName>
    <definedName name="грфинцкавг98Х" localSheetId="12" hidden="1">{#N/A,#N/A,TRUE,"Лист1";#N/A,#N/A,TRUE,"Лист2";#N/A,#N/A,TRUE,"Лист3"}</definedName>
    <definedName name="грфинцкавг98Х" localSheetId="28" hidden="1">{#N/A,#N/A,TRUE,"Лист1";#N/A,#N/A,TRUE,"Лист2";#N/A,#N/A,TRUE,"Лист3"}</definedName>
    <definedName name="грфинцкавг98Х" localSheetId="25" hidden="1">{#N/A,#N/A,TRUE,"Лист1";#N/A,#N/A,TRUE,"Лист2";#N/A,#N/A,TRUE,"Лист3"}</definedName>
    <definedName name="грфинцкавг98Х" localSheetId="26" hidden="1">{#N/A,#N/A,TRUE,"Лист1";#N/A,#N/A,TRUE,"Лист2";#N/A,#N/A,TRUE,"Лист3"}</definedName>
    <definedName name="грфинцкавг98Х" localSheetId="27" hidden="1">{#N/A,#N/A,TRUE,"Лист1";#N/A,#N/A,TRUE,"Лист2";#N/A,#N/A,TRUE,"Лист3"}</definedName>
    <definedName name="грфинцкавг98Х" localSheetId="13" hidden="1">{#N/A,#N/A,TRUE,"Лист1";#N/A,#N/A,TRUE,"Лист2";#N/A,#N/A,TRUE,"Лист3"}</definedName>
    <definedName name="грфинцкавг98Х" hidden="1">{#N/A,#N/A,TRUE,"Лист1";#N/A,#N/A,TRUE,"Лист2";#N/A,#N/A,TRUE,"Лист3"}</definedName>
    <definedName name="ГСМ">[32]!Виды_ГСМ</definedName>
    <definedName name="гшдд">'[23]Общий свод (2)'!#REF!</definedName>
    <definedName name="гшщддшд">#N/A</definedName>
    <definedName name="д">'[33]продВ(I)'!$C$13</definedName>
    <definedName name="дата_начала_отчетного_месяца">[34]списки!$B$1:$B$72</definedName>
    <definedName name="дд">#N/A</definedName>
    <definedName name="ддд">#N/A</definedName>
    <definedName name="ддд1">#N/A</definedName>
    <definedName name="дддд">#N/A</definedName>
    <definedName name="ддддд">#N/A</definedName>
    <definedName name="джарвни">#N/A</definedName>
    <definedName name="ДиапазонЗащиты" localSheetId="1">'[10]1'!$F$64:$H$65,'[10]1'!$J$61:$K$62,'[10]1'!$J$64:$K$65,'[10]1'!$F$11:$G$16,P1_ДиапазонЗащиты,P2_ДиапазонЗащиты,P3_ДиапазонЗащиты,P4_ДиапазонЗащиты</definedName>
    <definedName name="ДиапазонЗащиты" localSheetId="22">'[10]1'!$F$64:$H$65,'[10]1'!$J$61:$K$62,'[10]1'!$J$64:$K$65,'[10]1'!$F$11:$G$16,P1_ДиапазонЗащиты,P2_ДиапазонЗащиты,P3_ДиапазонЗащиты,P4_ДиапазонЗащиты</definedName>
    <definedName name="ДиапазонЗащиты" localSheetId="9">'[10]1'!$F$64:$H$65,'[10]1'!$J$61:$K$62,'[10]1'!$J$64:$K$65,'[10]1'!$F$11:$G$16,P1_ДиапазонЗащиты,P2_ДиапазонЗащиты,P3_ДиапазонЗащиты,P4_ДиапазонЗащиты</definedName>
    <definedName name="ДиапазонЗащиты" localSheetId="12">'[10]1'!$F$64:$H$65,'[10]1'!$J$61:$K$62,'[10]1'!$J$64:$K$65,'[10]1'!$F$11:$G$16,P1_ДиапазонЗащиты,P2_ДиапазонЗащиты,P3_ДиапазонЗащиты,P4_ДиапазонЗащиты</definedName>
    <definedName name="ДиапазонЗащиты" localSheetId="28">'[10]1'!$F$64:$H$65,'[10]1'!$J$61:$K$62,'[10]1'!$J$64:$K$65,'[10]1'!$F$11:$G$16,P1_ДиапазонЗащиты,P2_ДиапазонЗащиты,P3_ДиапазонЗащиты,P4_ДиапазонЗащиты</definedName>
    <definedName name="ДиапазонЗащиты" localSheetId="25">'[10]1'!$F$64:$H$65,'[10]1'!$J$61:$K$62,'[10]1'!$J$64:$K$65,'[10]1'!$F$11:$G$16,P1_ДиапазонЗащиты,P2_ДиапазонЗащиты,P3_ДиапазонЗащиты,P4_ДиапазонЗащиты</definedName>
    <definedName name="ДиапазонЗащиты" localSheetId="26">'[10]1'!$F$64:$H$65,'[10]1'!$J$61:$K$62,'[10]1'!$J$64:$K$65,'[10]1'!$F$11:$G$16,P1_ДиапазонЗащиты,P2_ДиапазонЗащиты,P3_ДиапазонЗащиты,P4_ДиапазонЗащиты</definedName>
    <definedName name="ДиапазонЗащиты" localSheetId="27">'[10]1'!$F$64:$H$65,'[10]1'!$J$61:$K$62,'[10]1'!$J$64:$K$65,'[10]1'!$F$11:$G$16,P1_ДиапазонЗащиты,P2_ДиапазонЗащиты,P3_ДиапазонЗащиты,P4_ДиапазонЗащиты</definedName>
    <definedName name="ДиапазонЗащиты" localSheetId="13">'[10]1'!$F$64:$H$65,'[10]1'!$J$61:$K$62,'[10]1'!$J$64:$K$65,'[10]1'!$F$11:$G$16,P1_ДиапазонЗащиты,P2_ДиапазонЗащиты,P3_ДиапазонЗащиты,P4_ДиапазонЗащиты</definedName>
    <definedName name="ДиапазонЗащиты">'[10]1'!$F$64:$H$65,'[10]1'!$J$61:$K$62,'[10]1'!$J$64:$K$65,'[10]1'!$F$11:$G$16,P1_ДиапазонЗащиты,P2_ДиапазонЗащиты,P3_ДиапазонЗащиты,P4_ДиапазонЗащиты</definedName>
    <definedName name="до">#N/A</definedName>
    <definedName name="догсн">[35]!Виды_транспорта</definedName>
    <definedName name="дол">[36]!Улусы</definedName>
    <definedName name="долд">#N/A</definedName>
    <definedName name="долж">#N/A</definedName>
    <definedName name="долина">#N/A</definedName>
    <definedName name="дом">#N/A</definedName>
    <definedName name="доп.премия">#REF!</definedName>
    <definedName name="дополнит.">#REF!</definedName>
    <definedName name="ДРУГОЕ">[37]Справочники!$A$26:$A$28</definedName>
    <definedName name="дым">#N/A</definedName>
    <definedName name="дым1">#N/A</definedName>
    <definedName name="е">#N/A</definedName>
    <definedName name="Е14">#REF!</definedName>
    <definedName name="Единицы_измерения">[38]!Единицы_измерения</definedName>
    <definedName name="ен">#N/A</definedName>
    <definedName name="енг">'[23]Общий свод (2)'!#REF!</definedName>
    <definedName name="енгке">#REF!</definedName>
    <definedName name="енлоенео">'[23]Общий свод (2)'!#REF!</definedName>
    <definedName name="енлоено">'[23]Общий свод (2)'!#REF!</definedName>
    <definedName name="еноекор">#REF!</definedName>
    <definedName name="еноеное">#REF!</definedName>
    <definedName name="еншенг">[21]!Виды_ГСМ</definedName>
    <definedName name="епку">[21]!Виды_услуг</definedName>
    <definedName name="жаба">#N/A</definedName>
    <definedName name="жбо">#REF!</definedName>
    <definedName name="жбо1">#REF!</definedName>
    <definedName name="жбо3">#REF!</definedName>
    <definedName name="жгшжд">[21]!Юридические_лица</definedName>
    <definedName name="ждэж">#N/A</definedName>
    <definedName name="жжжээээддллдоооо">#N/A</definedName>
    <definedName name="Жиг">#REF!</definedName>
    <definedName name="жиган">#REF!</definedName>
    <definedName name="Жиганск">#REF!</definedName>
    <definedName name="Жиганск1">#REF!</definedName>
    <definedName name="Жилфонд" localSheetId="12">[28]!Классы_отапливаемых_объектов</definedName>
    <definedName name="Жилфонд" localSheetId="28">[29]!Классы_отапливаемых_объектов</definedName>
    <definedName name="Жилфонд" localSheetId="13">[28]!Классы_отапливаемых_объектов</definedName>
    <definedName name="Жилфонд">[30]!Классы_отапливаемых_объектов</definedName>
    <definedName name="жфф">[27]!Виды_транспорта</definedName>
    <definedName name="з">'[23]Общий свод (2)'!#REF!</definedName>
    <definedName name="зарпал">#N/A</definedName>
    <definedName name="зарпал1">#N/A</definedName>
    <definedName name="зол">#N/A</definedName>
    <definedName name="ЗП1">[39]Лист13!$A$2</definedName>
    <definedName name="ЗП2">[39]Лист13!$B$2</definedName>
    <definedName name="ЗП3">[39]Лист13!$C$2</definedName>
    <definedName name="ЗП4">[39]Лист13!$D$2</definedName>
    <definedName name="зырянка">#N/A</definedName>
    <definedName name="и">#N/A</definedName>
    <definedName name="й">#N/A</definedName>
    <definedName name="й1">#N/A</definedName>
    <definedName name="ибибльт">#REF!</definedName>
    <definedName name="йв">'[17]Вспомогат(по месяцам)'!#REF!</definedName>
    <definedName name="ивпы">#REF!</definedName>
    <definedName name="йй">#N/A</definedName>
    <definedName name="ййй">#N/A</definedName>
    <definedName name="йййй">#N/A</definedName>
    <definedName name="ййййй">#N/A</definedName>
    <definedName name="импвив">#REF!</definedName>
    <definedName name="имя">#N/A</definedName>
    <definedName name="индцкавг98" localSheetId="1" hidden="1">{#N/A,#N/A,TRUE,"Лист1";#N/A,#N/A,TRUE,"Лист2";#N/A,#N/A,TRUE,"Лист3"}</definedName>
    <definedName name="индцкавг98" localSheetId="22" hidden="1">{#N/A,#N/A,TRUE,"Лист1";#N/A,#N/A,TRUE,"Лист2";#N/A,#N/A,TRUE,"Лист3"}</definedName>
    <definedName name="индцкавг98" localSheetId="9" hidden="1">{#N/A,#N/A,TRUE,"Лист1";#N/A,#N/A,TRUE,"Лист2";#N/A,#N/A,TRUE,"Лист3"}</definedName>
    <definedName name="индцкавг98" localSheetId="12" hidden="1">{#N/A,#N/A,TRUE,"Лист1";#N/A,#N/A,TRUE,"Лист2";#N/A,#N/A,TRUE,"Лист3"}</definedName>
    <definedName name="индцкавг98" localSheetId="28" hidden="1">{#N/A,#N/A,TRUE,"Лист1";#N/A,#N/A,TRUE,"Лист2";#N/A,#N/A,TRUE,"Лист3"}</definedName>
    <definedName name="индцкавг98" localSheetId="25" hidden="1">{#N/A,#N/A,TRUE,"Лист1";#N/A,#N/A,TRUE,"Лист2";#N/A,#N/A,TRUE,"Лист3"}</definedName>
    <definedName name="индцкавг98" localSheetId="26" hidden="1">{#N/A,#N/A,TRUE,"Лист1";#N/A,#N/A,TRUE,"Лист2";#N/A,#N/A,TRUE,"Лист3"}</definedName>
    <definedName name="индцкавг98" localSheetId="27" hidden="1">{#N/A,#N/A,TRUE,"Лист1";#N/A,#N/A,TRUE,"Лист2";#N/A,#N/A,TRUE,"Лист3"}</definedName>
    <definedName name="индцкавг98" localSheetId="13" hidden="1">{#N/A,#N/A,TRUE,"Лист1";#N/A,#N/A,TRUE,"Лист2";#N/A,#N/A,TRUE,"Лист3"}</definedName>
    <definedName name="индцкавг98" hidden="1">{#N/A,#N/A,TRUE,"Лист1";#N/A,#N/A,TRUE,"Лист2";#N/A,#N/A,TRUE,"Лист3"}</definedName>
    <definedName name="ипролл">#N/A</definedName>
    <definedName name="ирроирроирш">#REF!</definedName>
    <definedName name="ит">#N/A</definedName>
    <definedName name="итм">#REF!</definedName>
    <definedName name="итмс">#REF!</definedName>
    <definedName name="итого" localSheetId="1">'[12]2.2'!$E$179:$J$186,'[12]2.2'!$E$188:$J$188,'[12]2.2'!$E$191:$J$202,'[12]2.2'!$E$205:$J$205,'[12]2.2'!$E$115:$J$122,P1_T2.2?Data,P2_T2.2?Data,P3_T2.2?Data</definedName>
    <definedName name="итого" localSheetId="22">'[12]2.2'!$E$179:$J$186,'[12]2.2'!$E$188:$J$188,'[12]2.2'!$E$191:$J$202,'[12]2.2'!$E$205:$J$205,'[12]2.2'!$E$115:$J$122,P1_T2.2?Data,P2_T2.2?Data,P3_T2.2?Data</definedName>
    <definedName name="итого" localSheetId="9">'[12]2.2'!$E$179:$J$186,'[12]2.2'!$E$188:$J$188,'[12]2.2'!$E$191:$J$202,'[12]2.2'!$E$205:$J$205,'[12]2.2'!$E$115:$J$122,P1_T2.2?Data,P2_T2.2?Data,P3_T2.2?Data</definedName>
    <definedName name="итого" localSheetId="12">'[12]2.2'!$E$179:$J$186,'[12]2.2'!$E$188:$J$188,'[12]2.2'!$E$191:$J$202,'[12]2.2'!$E$205:$J$205,'[12]2.2'!$E$115:$J$122,P1_T2.2?Data,P2_T2.2?Data,P3_T2.2?Data</definedName>
    <definedName name="итого" localSheetId="28">'[12]2.2'!$E$179:$J$186,'[12]2.2'!$E$188:$J$188,'[12]2.2'!$E$191:$J$202,'[12]2.2'!$E$205:$J$205,'[12]2.2'!$E$115:$J$122,P1_T2.2?Data,P2_T2.2?Data,P3_T2.2?Data</definedName>
    <definedName name="итого" localSheetId="25">'[12]2.2'!$E$179:$J$186,'[12]2.2'!$E$188:$J$188,'[12]2.2'!$E$191:$J$202,'[12]2.2'!$E$205:$J$205,'[12]2.2'!$E$115:$J$122,P1_T2.2?Data,P2_T2.2?Data,P3_T2.2?Data</definedName>
    <definedName name="итого" localSheetId="26">'[12]2.2'!$E$179:$J$186,'[12]2.2'!$E$188:$J$188,'[12]2.2'!$E$191:$J$202,'[12]2.2'!$E$205:$J$205,'[12]2.2'!$E$115:$J$122,P1_T2.2?Data,P2_T2.2?Data,P3_T2.2?Data</definedName>
    <definedName name="итого" localSheetId="27">'[12]2.2'!$E$179:$J$186,'[12]2.2'!$E$188:$J$188,'[12]2.2'!$E$191:$J$202,'[12]2.2'!$E$205:$J$205,'[12]2.2'!$E$115:$J$122,P1_T2.2?Data,P2_T2.2?Data,P3_T2.2?Data</definedName>
    <definedName name="итого" localSheetId="13">'[12]2.2'!$E$179:$J$186,'[12]2.2'!$E$188:$J$188,'[12]2.2'!$E$191:$J$202,'[12]2.2'!$E$205:$J$205,'[12]2.2'!$E$115:$J$122,P1_T2.2?Data,P2_T2.2?Data,P3_T2.2?Data</definedName>
    <definedName name="итого">'[12]2.2'!$E$179:$J$186,'[12]2.2'!$E$188:$J$188,'[12]2.2'!$E$191:$J$202,'[12]2.2'!$E$205:$J$205,'[12]2.2'!$E$115:$J$122,P1_T2.2?Data,P2_T2.2?Data,P3_T2.2?Data</definedName>
    <definedName name="итр">#REF!</definedName>
    <definedName name="йц">#N/A</definedName>
    <definedName name="йцке">#N/A</definedName>
    <definedName name="иьиит">'[23]Общий свод (2)'!#REF!</definedName>
    <definedName name="к">#N/A</definedName>
    <definedName name="канвыв">#REF!</definedName>
    <definedName name="канвыв1">#REF!</definedName>
    <definedName name="канвыв3">#REF!</definedName>
    <definedName name="канколл">#REF!</definedName>
    <definedName name="канколл1">#REF!</definedName>
    <definedName name="канколл3">#REF!</definedName>
    <definedName name="кат">#N/A</definedName>
    <definedName name="квартал">#N/A</definedName>
    <definedName name="квартал_новый">#N/A</definedName>
    <definedName name="ке">#N/A</definedName>
    <definedName name="кен">#REF!</definedName>
    <definedName name="кенекн">[21]!Марки_автотранспорта</definedName>
    <definedName name="кенке">#REF!</definedName>
    <definedName name="кенкен">#REF!</definedName>
    <definedName name="кеннук">#REF!</definedName>
    <definedName name="кент">#N/A</definedName>
    <definedName name="кеппппппппппп" localSheetId="1" hidden="1">{#N/A,#N/A,TRUE,"Лист1";#N/A,#N/A,TRUE,"Лист2";#N/A,#N/A,TRUE,"Лист3"}</definedName>
    <definedName name="кеппппппппппп" localSheetId="22" hidden="1">{#N/A,#N/A,TRUE,"Лист1";#N/A,#N/A,TRUE,"Лист2";#N/A,#N/A,TRUE,"Лист3"}</definedName>
    <definedName name="кеппппппппппп" localSheetId="9" hidden="1">{#N/A,#N/A,TRUE,"Лист1";#N/A,#N/A,TRUE,"Лист2";#N/A,#N/A,TRUE,"Лист3"}</definedName>
    <definedName name="кеппппппппппп" localSheetId="12" hidden="1">{#N/A,#N/A,TRUE,"Лист1";#N/A,#N/A,TRUE,"Лист2";#N/A,#N/A,TRUE,"Лист3"}</definedName>
    <definedName name="кеппппппппппп" localSheetId="28" hidden="1">{#N/A,#N/A,TRUE,"Лист1";#N/A,#N/A,TRUE,"Лист2";#N/A,#N/A,TRUE,"Лист3"}</definedName>
    <definedName name="кеппппппппппп" localSheetId="25" hidden="1">{#N/A,#N/A,TRUE,"Лист1";#N/A,#N/A,TRUE,"Лист2";#N/A,#N/A,TRUE,"Лист3"}</definedName>
    <definedName name="кеппппппппппп" localSheetId="26" hidden="1">{#N/A,#N/A,TRUE,"Лист1";#N/A,#N/A,TRUE,"Лист2";#N/A,#N/A,TRUE,"Лист3"}</definedName>
    <definedName name="кеппппппппппп" localSheetId="27" hidden="1">{#N/A,#N/A,TRUE,"Лист1";#N/A,#N/A,TRUE,"Лист2";#N/A,#N/A,TRUE,"Лист3"}</definedName>
    <definedName name="кеппппппппппп" localSheetId="13" hidden="1">{#N/A,#N/A,TRUE,"Лист1";#N/A,#N/A,TRUE,"Лист2";#N/A,#N/A,TRUE,"Лист3"}</definedName>
    <definedName name="кеппппппппппп" hidden="1">{#N/A,#N/A,TRUE,"Лист1";#N/A,#N/A,TRUE,"Лист2";#N/A,#N/A,TRUE,"Лист3"}</definedName>
    <definedName name="ккк">#N/A</definedName>
    <definedName name="кккккк">#N/A</definedName>
    <definedName name="кккккккк">#N/A</definedName>
    <definedName name="ккккккккк">#N/A</definedName>
    <definedName name="Код_федерального_ведомства">[34]списки!$B$1:$B$108</definedName>
    <definedName name="кос">#N/A</definedName>
    <definedName name="кот">#N/A</definedName>
    <definedName name="котел">[40]!Предприятия_ЖКХ</definedName>
    <definedName name="Котельные" localSheetId="12">[28]!Котельные</definedName>
    <definedName name="Котельные" localSheetId="28">[29]!Котельные</definedName>
    <definedName name="Котельные" localSheetId="13">[28]!Котельные</definedName>
    <definedName name="Котельные">[30]!Котельные</definedName>
    <definedName name="коэф1">#REF!</definedName>
    <definedName name="коэф2">#REF!</definedName>
    <definedName name="коэф3">#REF!</definedName>
    <definedName name="коэф4">#REF!</definedName>
    <definedName name="л">'[17]Вспомогат(по месяцам)'!#REF!</definedName>
    <definedName name="лдпавфэьбе">#N/A</definedName>
    <definedName name="лее">#REF!</definedName>
    <definedName name="Лист1?prefix?">"T1"</definedName>
    <definedName name="Лист10?prefix?">"T4.5"</definedName>
    <definedName name="Лист11?prefix?">"T4.6"</definedName>
    <definedName name="Лист12?prefix?">"T4.7"</definedName>
    <definedName name="Лист13?prefix?">"T4.8"</definedName>
    <definedName name="Лист14?prefix?">"T4.9"</definedName>
    <definedName name="Лист15?prefix?">"T4.10"</definedName>
    <definedName name="Лист16?prefix?">"T4.11"</definedName>
    <definedName name="Лист17?prefix?">"T4.12"</definedName>
    <definedName name="Лист2?prefix?">"T2"</definedName>
    <definedName name="Лист3?prefix?">"T3"</definedName>
    <definedName name="Лист4?prefix?">"T2.1"</definedName>
    <definedName name="Лист5?prefix?">"T4"</definedName>
    <definedName name="Лист6?prefix?">"T2.2"</definedName>
    <definedName name="Лист7?prefix?">"T4.2"</definedName>
    <definedName name="Лист8?prefix?">"T4.3"</definedName>
    <definedName name="Лист9?prefix?">"T5"</definedName>
    <definedName name="лл">#N/A</definedName>
    <definedName name="лод">#N/A</definedName>
    <definedName name="лок">#N/A</definedName>
    <definedName name="лот">#N/A</definedName>
    <definedName name="м">#N/A</definedName>
    <definedName name="Маган">'[22]Вспомогат(по месяцам)'!#REF!</definedName>
    <definedName name="макс">#N/A</definedName>
    <definedName name="Марки_автотранспорта" localSheetId="12">[28]!Марки_автотранспорта</definedName>
    <definedName name="Марки_автотранспорта" localSheetId="28">[29]!Марки_автотранспорта</definedName>
    <definedName name="Марки_автотранспорта" localSheetId="13">[28]!Марки_автотранспорта</definedName>
    <definedName name="Марки_автотранспорта">[30]!Марки_автотранспорта</definedName>
    <definedName name="минимум">#REF!</definedName>
    <definedName name="мканг">#REF!</definedName>
    <definedName name="ммм">#N/A</definedName>
    <definedName name="мммммм">#N/A</definedName>
    <definedName name="мммммммммм">#N/A</definedName>
    <definedName name="мома">#REF!</definedName>
    <definedName name="моом">#N/A</definedName>
    <definedName name="москва">#N/A</definedName>
    <definedName name="моя">#N/A</definedName>
    <definedName name="МР">#REF!</definedName>
    <definedName name="мым">#N/A</definedName>
    <definedName name="н">'[33]продВ(I)'!$C$10</definedName>
    <definedName name="на">#N/A</definedName>
    <definedName name="Нав_ПотрЭЭ">[13]навигация!#REF!</definedName>
    <definedName name="Нав_Финансы2">[13]навигация!#REF!</definedName>
    <definedName name="название">'[41]Приложение 2.1'!#REF!</definedName>
    <definedName name="нат">#N/A</definedName>
    <definedName name="нгл">[21]!Предприятия_ЖКХ</definedName>
    <definedName name="не">#N/A</definedName>
    <definedName name="нет">#N/A</definedName>
    <definedName name="нефть">[35]!Виды_услуг</definedName>
    <definedName name="нлоено">#REF!</definedName>
    <definedName name="ннн">#N/A</definedName>
    <definedName name="норр">#REF!</definedName>
    <definedName name="нукнук">#REF!</definedName>
    <definedName name="Нюрба">#REF!</definedName>
    <definedName name="о" localSheetId="1">[42]!Улицы</definedName>
    <definedName name="о" localSheetId="12">[43]!Улицы</definedName>
    <definedName name="о" localSheetId="28">[42]!Улицы</definedName>
    <definedName name="о" localSheetId="13">[43]!Улицы</definedName>
    <definedName name="о">[42]!Улицы</definedName>
    <definedName name="оарпрпппппвввэж">#N/A</definedName>
    <definedName name="_xlnm.Print_Area" localSheetId="1">'1.План'!$A$1:$F$13</definedName>
    <definedName name="_xlnm.Print_Area" localSheetId="7">'11-18.КОРМА'!$A$1:$AA$184</definedName>
    <definedName name="_xlnm.Print_Area" localSheetId="14">'22.ППР'!$B$1:$J$117</definedName>
    <definedName name="_xlnm.Print_Area" localSheetId="15">'22.ФОТ'!$B$1:$AF$31</definedName>
    <definedName name="_xlnm.Print_Area" localSheetId="16">'23.Налоги'!$B$1:$N$15</definedName>
    <definedName name="_xlnm.Print_Area" localSheetId="17">'24.Финрез'!$B$1:$O$16</definedName>
    <definedName name="_xlnm.Print_Area" localSheetId="19">'25.БалДенСр'!$B$1:$K$23</definedName>
    <definedName name="_xlnm.Print_Area" localSheetId="18">'26-27.ЭФФПР'!$B$1:$K$17</definedName>
    <definedName name="_xlnm.Print_Area" localSheetId="20">'27.Безуб'!$A$1:$M$133</definedName>
    <definedName name="_xlnm.Print_Area" localSheetId="22">'28.ПЛАН о Фин.сост'!$A$1:$L$56</definedName>
    <definedName name="_xlnm.Print_Area" localSheetId="6">'3 корм ЛОШ'!$A$1:$N$122</definedName>
    <definedName name="_xlnm.Print_Area" localSheetId="5">'3-10.ДПЖ'!$A$1:$AD$183</definedName>
    <definedName name="_xlnm.Print_Area" localSheetId="9">'4.защ лош'!$A$1:$I$23</definedName>
    <definedName name="_xlnm.Print_Area" localSheetId="12">'5.ФОТ'!$A$1:$H$34</definedName>
    <definedName name="_xlnm.Print_Area" localSheetId="39">'6.Кред'!$A$1:$F$66</definedName>
    <definedName name="_xlnm.Print_Area" localSheetId="28">Затраты!$A$1:$X$72</definedName>
    <definedName name="_xlnm.Print_Area" localSheetId="25">'КРМД-24'!$A$1:$R$219</definedName>
    <definedName name="_xlnm.Print_Area" localSheetId="26">'КРМД-25'!$A$1:$R$219</definedName>
    <definedName name="_xlnm.Print_Area" localSheetId="27">'КРМД-26'!$A$1:$R$219</definedName>
    <definedName name="_xlnm.Print_Area" localSheetId="0">начало!$B$2:$C$19</definedName>
    <definedName name="_xlnm.Print_Area" localSheetId="4">ППП!$A$1:$G$26</definedName>
    <definedName name="_xlnm.Print_Area" localSheetId="10">ПрСбытПрП!$B$1:$H$13</definedName>
    <definedName name="_xlnm.Print_Area" localSheetId="21">Риски!$B$1:$F$21</definedName>
    <definedName name="_xlnm.Print_Area" localSheetId="8">'Табл.1-2'!$B$1:$I$46</definedName>
    <definedName name="_xlnm.Print_Area" localSheetId="11">ТРП!$A$1:$G$10</definedName>
    <definedName name="_xlnm.Print_Area" localSheetId="13">'фИН РЕЗ'!$A$1:$H$29</definedName>
    <definedName name="ол">#N/A</definedName>
    <definedName name="олддж">#N/A</definedName>
    <definedName name="олджэ">'[17]Вспомогат(по месяцам)'!#REF!</definedName>
    <definedName name="олек">#N/A</definedName>
    <definedName name="Оленек">#N/A</definedName>
    <definedName name="ооо">#N/A</definedName>
    <definedName name="оооооооооо">#N/A</definedName>
    <definedName name="ОптРынок">'[13]Производство электроэнергии'!$A$60</definedName>
    <definedName name="орррррчяпистьв">#N/A</definedName>
    <definedName name="ос.р">#REF!</definedName>
    <definedName name="основная">#REF!</definedName>
    <definedName name="отопл">#REF!</definedName>
    <definedName name="отопл1">#REF!</definedName>
    <definedName name="отопл3">#REF!</definedName>
    <definedName name="очист.">#REF!</definedName>
    <definedName name="оштотогшщшо">[1]FES!#REF!</definedName>
    <definedName name="п">[44]!Предприятия_ЖКХ</definedName>
    <definedName name="П4Ф11а">[40]!Предприятия_ЖКХ</definedName>
    <definedName name="пав">[45]!Предприятия_ЖКХ</definedName>
    <definedName name="пал">[45]!Предприятия_ЖКХ</definedName>
    <definedName name="пар">#N/A</definedName>
    <definedName name="пвавырыы">#N/A</definedName>
    <definedName name="первый">#REF!</definedName>
    <definedName name="ПериодРегулирования">[25]Заголовок!$B$14</definedName>
    <definedName name="пермиальные">#REF!</definedName>
    <definedName name="пир">#N/A</definedName>
    <definedName name="пл">#N/A</definedName>
    <definedName name="план">#REF!</definedName>
    <definedName name="по">#N/A</definedName>
    <definedName name="подвоз">#REF!</definedName>
    <definedName name="подвоз1">#REF!</definedName>
    <definedName name="подвоз3">#REF!</definedName>
    <definedName name="попро">#REF!</definedName>
    <definedName name="ПоследнийГод">[46]Заголовок!$B$16</definedName>
    <definedName name="пот">#N/A</definedName>
    <definedName name="пп">[27]!Виды_ППТН</definedName>
    <definedName name="ппп">#N/A</definedName>
    <definedName name="пппп">#N/A</definedName>
    <definedName name="ппыв">'[17]Вспомогат(по месяцам)'!#REF!</definedName>
    <definedName name="пр">[27]!Виды_ТЭР</definedName>
    <definedName name="Предприятия_ЖКХ" localSheetId="12">[28]!Предприятия_ЖКХ</definedName>
    <definedName name="Предприятия_ЖКХ" localSheetId="28">[29]!Предприятия_ЖКХ</definedName>
    <definedName name="Предприятия_ЖКХ" localSheetId="13">[28]!Предприятия_ЖКХ</definedName>
    <definedName name="Предприятия_ЖКХ">[30]!Предприятия_ЖКХ</definedName>
    <definedName name="премирование">#REF!</definedName>
    <definedName name="премия">#REF!</definedName>
    <definedName name="премия_рабочим">#REF!</definedName>
    <definedName name="прибыль3" localSheetId="1" hidden="1">{#N/A,#N/A,TRUE,"Лист1";#N/A,#N/A,TRUE,"Лист2";#N/A,#N/A,TRUE,"Лист3"}</definedName>
    <definedName name="прибыль3" localSheetId="22" hidden="1">{#N/A,#N/A,TRUE,"Лист1";#N/A,#N/A,TRUE,"Лист2";#N/A,#N/A,TRUE,"Лист3"}</definedName>
    <definedName name="прибыль3" localSheetId="9" hidden="1">{#N/A,#N/A,TRUE,"Лист1";#N/A,#N/A,TRUE,"Лист2";#N/A,#N/A,TRUE,"Лист3"}</definedName>
    <definedName name="прибыль3" localSheetId="12" hidden="1">{#N/A,#N/A,TRUE,"Лист1";#N/A,#N/A,TRUE,"Лист2";#N/A,#N/A,TRUE,"Лист3"}</definedName>
    <definedName name="прибыль3" localSheetId="28" hidden="1">{#N/A,#N/A,TRUE,"Лист1";#N/A,#N/A,TRUE,"Лист2";#N/A,#N/A,TRUE,"Лист3"}</definedName>
    <definedName name="прибыль3" localSheetId="25" hidden="1">{#N/A,#N/A,TRUE,"Лист1";#N/A,#N/A,TRUE,"Лист2";#N/A,#N/A,TRUE,"Лист3"}</definedName>
    <definedName name="прибыль3" localSheetId="26" hidden="1">{#N/A,#N/A,TRUE,"Лист1";#N/A,#N/A,TRUE,"Лист2";#N/A,#N/A,TRUE,"Лист3"}</definedName>
    <definedName name="прибыль3" localSheetId="27" hidden="1">{#N/A,#N/A,TRUE,"Лист1";#N/A,#N/A,TRUE,"Лист2";#N/A,#N/A,TRUE,"Лист3"}</definedName>
    <definedName name="прибыль3" localSheetId="13" hidden="1">{#N/A,#N/A,TRUE,"Лист1";#N/A,#N/A,TRUE,"Лист2";#N/A,#N/A,TRUE,"Лист3"}</definedName>
    <definedName name="прибыль3" hidden="1">{#N/A,#N/A,TRUE,"Лист1";#N/A,#N/A,TRUE,"Лист2";#N/A,#N/A,TRUE,"Лист3"}</definedName>
    <definedName name="прльапа">#REF!</definedName>
    <definedName name="проа">#N/A</definedName>
    <definedName name="программа">#N/A</definedName>
    <definedName name="прок">#N/A</definedName>
    <definedName name="пром.">#N/A</definedName>
    <definedName name="пропв">#N/A</definedName>
    <definedName name="проч">#N/A</definedName>
    <definedName name="проч.расх">#N/A</definedName>
    <definedName name="прро">#N/A</definedName>
    <definedName name="прьпр">#REF!</definedName>
    <definedName name="ПЭ">[37]Справочники!$A$10:$A$12</definedName>
    <definedName name="р">#N/A</definedName>
    <definedName name="рабоч">#REF!</definedName>
    <definedName name="рабочие">#REF!</definedName>
    <definedName name="расх">#N/A</definedName>
    <definedName name="РГК">[37]Справочники!$A$4:$A$4</definedName>
    <definedName name="РГРЭС">#N/A</definedName>
    <definedName name="Реестр">[47]REESTR!$X$2:$X$37</definedName>
    <definedName name="рез">#N/A</definedName>
    <definedName name="реке">#REF!</definedName>
    <definedName name="рем">#N/A</definedName>
    <definedName name="рис1" localSheetId="1" hidden="1">{#N/A,#N/A,TRUE,"Лист1";#N/A,#N/A,TRUE,"Лист2";#N/A,#N/A,TRUE,"Лист3"}</definedName>
    <definedName name="рис1" localSheetId="22" hidden="1">{#N/A,#N/A,TRUE,"Лист1";#N/A,#N/A,TRUE,"Лист2";#N/A,#N/A,TRUE,"Лист3"}</definedName>
    <definedName name="рис1" localSheetId="9" hidden="1">{#N/A,#N/A,TRUE,"Лист1";#N/A,#N/A,TRUE,"Лист2";#N/A,#N/A,TRUE,"Лист3"}</definedName>
    <definedName name="рис1" localSheetId="12" hidden="1">{#N/A,#N/A,TRUE,"Лист1";#N/A,#N/A,TRUE,"Лист2";#N/A,#N/A,TRUE,"Лист3"}</definedName>
    <definedName name="рис1" localSheetId="28" hidden="1">{#N/A,#N/A,TRUE,"Лист1";#N/A,#N/A,TRUE,"Лист2";#N/A,#N/A,TRUE,"Лист3"}</definedName>
    <definedName name="рис1" localSheetId="25" hidden="1">{#N/A,#N/A,TRUE,"Лист1";#N/A,#N/A,TRUE,"Лист2";#N/A,#N/A,TRUE,"Лист3"}</definedName>
    <definedName name="рис1" localSheetId="26" hidden="1">{#N/A,#N/A,TRUE,"Лист1";#N/A,#N/A,TRUE,"Лист2";#N/A,#N/A,TRUE,"Лист3"}</definedName>
    <definedName name="рис1" localSheetId="27" hidden="1">{#N/A,#N/A,TRUE,"Лист1";#N/A,#N/A,TRUE,"Лист2";#N/A,#N/A,TRUE,"Лист3"}</definedName>
    <definedName name="рис1" localSheetId="13" hidden="1">{#N/A,#N/A,TRUE,"Лист1";#N/A,#N/A,TRUE,"Лист2";#N/A,#N/A,TRUE,"Лист3"}</definedName>
    <definedName name="рис1" hidden="1">{#N/A,#N/A,TRUE,"Лист1";#N/A,#N/A,TRUE,"Лист2";#N/A,#N/A,TRUE,"Лист3"}</definedName>
    <definedName name="рло">#N/A</definedName>
    <definedName name="род">#N/A</definedName>
    <definedName name="родлд">#N/A</definedName>
    <definedName name="с">#N/A</definedName>
    <definedName name="С2">#REF!</definedName>
    <definedName name="Саночистка">#N/A</definedName>
    <definedName name="сахателеком">#REF!</definedName>
    <definedName name="Свод">#N/A</definedName>
    <definedName name="свод1">#N/A</definedName>
    <definedName name="Своди">[48]REESTR!$Y$2</definedName>
    <definedName name="себ" localSheetId="6">'[19]виды д-ти'!$B$421:$B$422</definedName>
    <definedName name="себ">'[49]виды д-ти'!$B$421:$B$422</definedName>
    <definedName name="сель">#N/A</definedName>
    <definedName name="сельск.хоз">#N/A</definedName>
    <definedName name="слес">#REF!</definedName>
    <definedName name="слесари">#REF!</definedName>
    <definedName name="Сметасент">#N/A</definedName>
    <definedName name="смис">'[17]Вспомогат(по месяцам)'!#REF!</definedName>
    <definedName name="сн">[35]!Классы_отапливаемых_объектов</definedName>
    <definedName name="совхоз">#REF!</definedName>
    <definedName name="сорож">#REF!</definedName>
    <definedName name="спец">#REF!</definedName>
    <definedName name="Справочник">#REF!</definedName>
    <definedName name="сс">#N/A</definedName>
    <definedName name="ссс">#N/A</definedName>
    <definedName name="сссс">#N/A</definedName>
    <definedName name="ссы">#N/A</definedName>
    <definedName name="ссы2">#N/A</definedName>
    <definedName name="сторож">#REF!</definedName>
    <definedName name="стр">#REF!</definedName>
    <definedName name="сунтар">#REF!</definedName>
    <definedName name="сухмусор">#REF!</definedName>
    <definedName name="сухмусор1">#REF!</definedName>
    <definedName name="сухмусор3">#REF!</definedName>
    <definedName name="сы">#N/A</definedName>
    <definedName name="т">#N/A</definedName>
    <definedName name="т115">[50]Т1.!#REF!</definedName>
    <definedName name="т11всего_1">#REF!</definedName>
    <definedName name="т11всего_2">#REF!</definedName>
    <definedName name="т12п1_1">#REF!</definedName>
    <definedName name="т12п1_2">#REF!</definedName>
    <definedName name="т12п2_1">#REF!</definedName>
    <definedName name="т12п2_2">#REF!</definedName>
    <definedName name="т19.1п16">#REF!</definedName>
    <definedName name="т1п15">#REF!</definedName>
    <definedName name="т2п11">#REF!</definedName>
    <definedName name="т2п12">#REF!</definedName>
    <definedName name="т2п13">#REF!</definedName>
    <definedName name="т2п2">#REF!</definedName>
    <definedName name="т2п7">#REF!</definedName>
    <definedName name="т3п3">[51]Т5!#REF!</definedName>
    <definedName name="т7п4_1">#REF!</definedName>
    <definedName name="т7п4_2">#REF!</definedName>
    <definedName name="т7п5_1">#REF!</definedName>
    <definedName name="т7п5_2">#REF!</definedName>
    <definedName name="т7п6_1">#REF!</definedName>
    <definedName name="т7п6_2">#REF!</definedName>
    <definedName name="т8п1">#REF!</definedName>
    <definedName name="таб.23">#N/A</definedName>
    <definedName name="Таня">[52]АУП!#REF!</definedName>
    <definedName name="тар07">#REF!,#REF!,#REF!</definedName>
    <definedName name="тариф">[53]!Улицы</definedName>
    <definedName name="татта">'[17]Вспомогат(по месяцам)'!#REF!</definedName>
    <definedName name="тбо3">#REF!</definedName>
    <definedName name="титул">#REF!</definedName>
    <definedName name="ТМЦ" localSheetId="12">[28]!ТМЦ</definedName>
    <definedName name="ТМЦ" localSheetId="28">[29]!ТМЦ</definedName>
    <definedName name="ТМЦ" localSheetId="13">[28]!ТМЦ</definedName>
    <definedName name="ТМЦ">[30]!ТМЦ</definedName>
    <definedName name="тов">#N/A</definedName>
    <definedName name="тод">#N/A</definedName>
    <definedName name="Томпо">'[17]Вспомогат(по месяцам)'!#REF!</definedName>
    <definedName name="тп" localSheetId="1" hidden="1">{#N/A,#N/A,TRUE,"Лист1";#N/A,#N/A,TRUE,"Лист2";#N/A,#N/A,TRUE,"Лист3"}</definedName>
    <definedName name="тп" localSheetId="22" hidden="1">{#N/A,#N/A,TRUE,"Лист1";#N/A,#N/A,TRUE,"Лист2";#N/A,#N/A,TRUE,"Лист3"}</definedName>
    <definedName name="тп" localSheetId="9" hidden="1">{#N/A,#N/A,TRUE,"Лист1";#N/A,#N/A,TRUE,"Лист2";#N/A,#N/A,TRUE,"Лист3"}</definedName>
    <definedName name="тп" localSheetId="12" hidden="1">{#N/A,#N/A,TRUE,"Лист1";#N/A,#N/A,TRUE,"Лист2";#N/A,#N/A,TRUE,"Лист3"}</definedName>
    <definedName name="тп" localSheetId="28" hidden="1">{#N/A,#N/A,TRUE,"Лист1";#N/A,#N/A,TRUE,"Лист2";#N/A,#N/A,TRUE,"Лист3"}</definedName>
    <definedName name="тп" localSheetId="25" hidden="1">{#N/A,#N/A,TRUE,"Лист1";#N/A,#N/A,TRUE,"Лист2";#N/A,#N/A,TRUE,"Лист3"}</definedName>
    <definedName name="тп" localSheetId="26" hidden="1">{#N/A,#N/A,TRUE,"Лист1";#N/A,#N/A,TRUE,"Лист2";#N/A,#N/A,TRUE,"Лист3"}</definedName>
    <definedName name="тп" localSheetId="27" hidden="1">{#N/A,#N/A,TRUE,"Лист1";#N/A,#N/A,TRUE,"Лист2";#N/A,#N/A,TRUE,"Лист3"}</definedName>
    <definedName name="тп" localSheetId="13" hidden="1">{#N/A,#N/A,TRUE,"Лист1";#N/A,#N/A,TRUE,"Лист2";#N/A,#N/A,TRUE,"Лист3"}</definedName>
    <definedName name="тп" hidden="1">{#N/A,#N/A,TRUE,"Лист1";#N/A,#N/A,TRUE,"Лист2";#N/A,#N/A,TRUE,"Лист3"}</definedName>
    <definedName name="третий">#REF!</definedName>
    <definedName name="три">#N/A</definedName>
    <definedName name="Труд3">#N/A</definedName>
    <definedName name="тт">#N/A</definedName>
    <definedName name="ттт">#N/A</definedName>
    <definedName name="у">#N/A</definedName>
    <definedName name="УАлд">'[17]Вспомогат(по месяцам)'!#REF!</definedName>
    <definedName name="уау">[21]!Виды_транспорта</definedName>
    <definedName name="уб">#REF!</definedName>
    <definedName name="убор">#REF!</definedName>
    <definedName name="уборщикъ">#REF!</definedName>
    <definedName name="увцуау">[1]FES!#REF!</definedName>
    <definedName name="УГОЛЬ">[37]Справочники!$A$19:$A$21</definedName>
    <definedName name="укеееукеееееееееееееее" localSheetId="1" hidden="1">{#N/A,#N/A,TRUE,"Лист1";#N/A,#N/A,TRUE,"Лист2";#N/A,#N/A,TRUE,"Лист3"}</definedName>
    <definedName name="укеееукеееееееееееееее" localSheetId="22" hidden="1">{#N/A,#N/A,TRUE,"Лист1";#N/A,#N/A,TRUE,"Лист2";#N/A,#N/A,TRUE,"Лист3"}</definedName>
    <definedName name="укеееукеееееееееееееее" localSheetId="9" hidden="1">{#N/A,#N/A,TRUE,"Лист1";#N/A,#N/A,TRUE,"Лист2";#N/A,#N/A,TRUE,"Лист3"}</definedName>
    <definedName name="укеееукеееееееееееееее" localSheetId="12" hidden="1">{#N/A,#N/A,TRUE,"Лист1";#N/A,#N/A,TRUE,"Лист2";#N/A,#N/A,TRUE,"Лист3"}</definedName>
    <definedName name="укеееукеееееееееееееее" localSheetId="28" hidden="1">{#N/A,#N/A,TRUE,"Лист1";#N/A,#N/A,TRUE,"Лист2";#N/A,#N/A,TRUE,"Лист3"}</definedName>
    <definedName name="укеееукеееееееееееееее" localSheetId="25" hidden="1">{#N/A,#N/A,TRUE,"Лист1";#N/A,#N/A,TRUE,"Лист2";#N/A,#N/A,TRUE,"Лист3"}</definedName>
    <definedName name="укеееукеееееееееееееее" localSheetId="26" hidden="1">{#N/A,#N/A,TRUE,"Лист1";#N/A,#N/A,TRUE,"Лист2";#N/A,#N/A,TRUE,"Лист3"}</definedName>
    <definedName name="укеееукеееееееееееееее" localSheetId="27" hidden="1">{#N/A,#N/A,TRUE,"Лист1";#N/A,#N/A,TRUE,"Лист2";#N/A,#N/A,TRUE,"Лист3"}</definedName>
    <definedName name="укеееукеееееееееееееее" localSheetId="13" hidden="1">{#N/A,#N/A,TRUE,"Лист1";#N/A,#N/A,TRUE,"Лист2";#N/A,#N/A,TRUE,"Лист3"}</definedName>
    <definedName name="укеееукеееееееееееееее" hidden="1">{#N/A,#N/A,TRUE,"Лист1";#N/A,#N/A,TRUE,"Лист2";#N/A,#N/A,TRUE,"Лист3"}</definedName>
    <definedName name="укеукеуеуе" localSheetId="1" hidden="1">{#N/A,#N/A,TRUE,"Лист1";#N/A,#N/A,TRUE,"Лист2";#N/A,#N/A,TRUE,"Лист3"}</definedName>
    <definedName name="укеукеуеуе" localSheetId="22" hidden="1">{#N/A,#N/A,TRUE,"Лист1";#N/A,#N/A,TRUE,"Лист2";#N/A,#N/A,TRUE,"Лист3"}</definedName>
    <definedName name="укеукеуеуе" localSheetId="9" hidden="1">{#N/A,#N/A,TRUE,"Лист1";#N/A,#N/A,TRUE,"Лист2";#N/A,#N/A,TRUE,"Лист3"}</definedName>
    <definedName name="укеукеуеуе" localSheetId="12" hidden="1">{#N/A,#N/A,TRUE,"Лист1";#N/A,#N/A,TRUE,"Лист2";#N/A,#N/A,TRUE,"Лист3"}</definedName>
    <definedName name="укеукеуеуе" localSheetId="28" hidden="1">{#N/A,#N/A,TRUE,"Лист1";#N/A,#N/A,TRUE,"Лист2";#N/A,#N/A,TRUE,"Лист3"}</definedName>
    <definedName name="укеукеуеуе" localSheetId="25" hidden="1">{#N/A,#N/A,TRUE,"Лист1";#N/A,#N/A,TRUE,"Лист2";#N/A,#N/A,TRUE,"Лист3"}</definedName>
    <definedName name="укеукеуеуе" localSheetId="26" hidden="1">{#N/A,#N/A,TRUE,"Лист1";#N/A,#N/A,TRUE,"Лист2";#N/A,#N/A,TRUE,"Лист3"}</definedName>
    <definedName name="укеукеуеуе" localSheetId="27" hidden="1">{#N/A,#N/A,TRUE,"Лист1";#N/A,#N/A,TRUE,"Лист2";#N/A,#N/A,TRUE,"Лист3"}</definedName>
    <definedName name="укеукеуеуе" localSheetId="13" hidden="1">{#N/A,#N/A,TRUE,"Лист1";#N/A,#N/A,TRUE,"Лист2";#N/A,#N/A,TRUE,"Лист3"}</definedName>
    <definedName name="укеукеуеуе" hidden="1">{#N/A,#N/A,TRUE,"Лист1";#N/A,#N/A,TRUE,"Лист2";#N/A,#N/A,TRUE,"Лист3"}</definedName>
    <definedName name="укп">#N/A</definedName>
    <definedName name="улиц">[54]!Улицы</definedName>
    <definedName name="Улицы" localSheetId="1">[42]!Улицы</definedName>
    <definedName name="Улицы" localSheetId="12">[43]!Улицы</definedName>
    <definedName name="Улицы" localSheetId="28">[42]!Улицы</definedName>
    <definedName name="Улицы" localSheetId="13">[43]!Улицы</definedName>
    <definedName name="Улицы">[42]!Улицы</definedName>
    <definedName name="улицы2">[27]!Улицы</definedName>
    <definedName name="улус">'[55]0'!$B$4:$B$38</definedName>
    <definedName name="Улусы" localSheetId="12">[28]!Улусы</definedName>
    <definedName name="Улусы" localSheetId="28">[29]!Улусы</definedName>
    <definedName name="Улусы" localSheetId="13">[28]!Улусы</definedName>
    <definedName name="Улусы">[30]!Улусы</definedName>
    <definedName name="УМая">'[17]Вспомогат(по месяцам)'!#REF!</definedName>
    <definedName name="ууу">#N/A</definedName>
    <definedName name="уц">#N/A</definedName>
    <definedName name="уцвауауцауц">#REF!</definedName>
    <definedName name="УЯна">'[17]Вспомогат(по месяцам)'!#REF!</definedName>
    <definedName name="ф">#REF!</definedName>
    <definedName name="ФОТ">'[17]Вспомогат(по месяцам)'!#REF!</definedName>
    <definedName name="ФОТ_год_ГУП">'[56]ОХЗ КТС'!$D$42</definedName>
    <definedName name="фф">'[17]Вспомогат(по месяцам)'!#REF!</definedName>
    <definedName name="ффф">#REF!</definedName>
    <definedName name="фффф">'[17]Вспомогат(по месяцам)'!#REF!</definedName>
    <definedName name="фцу">#N/A</definedName>
    <definedName name="фы">#REF!</definedName>
    <definedName name="фыв">'[17]Вспомогат(по месяцам)'!#REF!</definedName>
    <definedName name="х">#N/A</definedName>
    <definedName name="Хангаласскик">#N/A</definedName>
    <definedName name="холод">#REF!</definedName>
    <definedName name="холод1">#REF!</definedName>
    <definedName name="холод3">#REF!</definedName>
    <definedName name="ц">#N/A</definedName>
    <definedName name="цех">#REF!</definedName>
    <definedName name="цкуцук">#REF!</definedName>
    <definedName name="цу">#N/A</definedName>
    <definedName name="цц">#N/A</definedName>
    <definedName name="ццц">#N/A</definedName>
    <definedName name="ч">#N/A</definedName>
    <definedName name="четвертый">#REF!</definedName>
    <definedName name="чпа">#N/A</definedName>
    <definedName name="Шахматка">[57]!Единицы_измерения</definedName>
    <definedName name="шг">#N/A</definedName>
    <definedName name="щ">#N/A</definedName>
    <definedName name="щз">#N/A</definedName>
    <definedName name="щплри">'[22]Вспомогат(по месяцам)'!#REF!</definedName>
    <definedName name="ъ">#N/A</definedName>
    <definedName name="ы">#N/A</definedName>
    <definedName name="ыа">#REF!</definedName>
    <definedName name="ыав">#REF!</definedName>
    <definedName name="ыв">#N/A</definedName>
    <definedName name="ыва">[21]!Улусы</definedName>
    <definedName name="ываа">'[17]Вспомогат(по месяцам)'!#REF!</definedName>
    <definedName name="ываыв">[21]!Виды_МБП</definedName>
    <definedName name="ываыва">[21]!Виды_ППТН</definedName>
    <definedName name="ываыы">[21]!Виды_работ</definedName>
    <definedName name="ываыыав">[21]!Виды_целевого_обслуживания</definedName>
    <definedName name="ывы">#N/A</definedName>
    <definedName name="ып">[21]!Виды_ГСМ</definedName>
    <definedName name="ыуаы" localSheetId="1" hidden="1">{#N/A,#N/A,TRUE,"Лист1";#N/A,#N/A,TRUE,"Лист2";#N/A,#N/A,TRUE,"Лист3"}</definedName>
    <definedName name="ыуаы" localSheetId="22" hidden="1">{#N/A,#N/A,TRUE,"Лист1";#N/A,#N/A,TRUE,"Лист2";#N/A,#N/A,TRUE,"Лист3"}</definedName>
    <definedName name="ыуаы" localSheetId="9" hidden="1">{#N/A,#N/A,TRUE,"Лист1";#N/A,#N/A,TRUE,"Лист2";#N/A,#N/A,TRUE,"Лист3"}</definedName>
    <definedName name="ыуаы" localSheetId="12" hidden="1">{#N/A,#N/A,TRUE,"Лист1";#N/A,#N/A,TRUE,"Лист2";#N/A,#N/A,TRUE,"Лист3"}</definedName>
    <definedName name="ыуаы" localSheetId="28" hidden="1">{#N/A,#N/A,TRUE,"Лист1";#N/A,#N/A,TRUE,"Лист2";#N/A,#N/A,TRUE,"Лист3"}</definedName>
    <definedName name="ыуаы" localSheetId="25" hidden="1">{#N/A,#N/A,TRUE,"Лист1";#N/A,#N/A,TRUE,"Лист2";#N/A,#N/A,TRUE,"Лист3"}</definedName>
    <definedName name="ыуаы" localSheetId="26" hidden="1">{#N/A,#N/A,TRUE,"Лист1";#N/A,#N/A,TRUE,"Лист2";#N/A,#N/A,TRUE,"Лист3"}</definedName>
    <definedName name="ыуаы" localSheetId="27" hidden="1">{#N/A,#N/A,TRUE,"Лист1";#N/A,#N/A,TRUE,"Лист2";#N/A,#N/A,TRUE,"Лист3"}</definedName>
    <definedName name="ыуаы" localSheetId="13" hidden="1">{#N/A,#N/A,TRUE,"Лист1";#N/A,#N/A,TRUE,"Лист2";#N/A,#N/A,TRUE,"Лист3"}</definedName>
    <definedName name="ыуаы" hidden="1">{#N/A,#N/A,TRUE,"Лист1";#N/A,#N/A,TRUE,"Лист2";#N/A,#N/A,TRUE,"Лист3"}</definedName>
    <definedName name="ыы">[58]!Единицы_измерения</definedName>
    <definedName name="ыыыы">#N/A</definedName>
    <definedName name="ь">#N/A</definedName>
    <definedName name="ьилаттп">'[22]Вспомогат(по месяцам)'!#REF!</definedName>
    <definedName name="э">#N/A</definedName>
    <definedName name="ээ">#N/A</definedName>
    <definedName name="эээ">#N/A</definedName>
    <definedName name="ээээ">#N/A</definedName>
    <definedName name="эээээжжсмбмбмюмю">'[22]Вспомогат(по месяцам)'!#REF!</definedName>
    <definedName name="эээээээ">#N/A</definedName>
    <definedName name="ю">#N/A</definedName>
    <definedName name="Юридические_лица" localSheetId="12">[28]!Юридические_лица</definedName>
    <definedName name="Юридические_лица" localSheetId="28">[29]!Юридические_лица</definedName>
    <definedName name="Юридические_лица" localSheetId="13">[28]!Юридические_лица</definedName>
    <definedName name="Юридические_лица">[30]!Юридические_лица</definedName>
    <definedName name="я">#N/A</definedName>
    <definedName name="як">#N/A</definedName>
    <definedName name="ян">#N/A</definedName>
    <definedName name="яна">#REF!</definedName>
    <definedName name="яя">#N/A</definedName>
    <definedName name="яяя">#N/A</definedName>
    <definedName name="яяяя">#N/A</definedName>
  </definedNames>
  <calcPr calcId="145621"/>
</workbook>
</file>

<file path=xl/calcChain.xml><?xml version="1.0" encoding="utf-8"?>
<calcChain xmlns="http://schemas.openxmlformats.org/spreadsheetml/2006/main">
  <c r="C6" i="54" l="1"/>
  <c r="E7" i="54"/>
  <c r="F7" i="54"/>
  <c r="G7" i="54"/>
  <c r="H7" i="54"/>
  <c r="I7" i="54"/>
  <c r="D7" i="54"/>
  <c r="F26" i="28"/>
  <c r="E26" i="28"/>
  <c r="F33" i="49"/>
  <c r="F28" i="49"/>
  <c r="F27" i="49"/>
  <c r="F26" i="49"/>
  <c r="F23" i="49"/>
  <c r="F22" i="49"/>
  <c r="F18" i="49"/>
  <c r="G18" i="49" s="1"/>
  <c r="F17" i="49"/>
  <c r="F13" i="49"/>
  <c r="F12" i="49"/>
  <c r="F7" i="49"/>
  <c r="F8" i="49"/>
  <c r="F6" i="49"/>
  <c r="G33" i="49"/>
  <c r="G28" i="49"/>
  <c r="G23" i="49"/>
  <c r="G13" i="49"/>
  <c r="G8" i="49"/>
  <c r="P15" i="48"/>
  <c r="G113" i="48"/>
  <c r="F113" i="48"/>
  <c r="G93" i="48"/>
  <c r="F93" i="48"/>
  <c r="G73" i="48"/>
  <c r="F73" i="48"/>
  <c r="G53" i="48"/>
  <c r="F53" i="48"/>
  <c r="G33" i="48"/>
  <c r="F33" i="48"/>
  <c r="F9" i="49" l="1"/>
  <c r="F29" i="49"/>
  <c r="G13" i="48"/>
  <c r="F13" i="48"/>
  <c r="AA13" i="48"/>
  <c r="V113" i="48"/>
  <c r="V93" i="48"/>
  <c r="V73" i="48"/>
  <c r="V53" i="48"/>
  <c r="V13" i="48"/>
  <c r="N122" i="48"/>
  <c r="N121" i="48"/>
  <c r="N120" i="48"/>
  <c r="N119" i="48"/>
  <c r="N118" i="48"/>
  <c r="N117" i="48"/>
  <c r="N116" i="48"/>
  <c r="N115" i="48"/>
  <c r="N114" i="48"/>
  <c r="N113" i="48"/>
  <c r="N112" i="48"/>
  <c r="N111" i="48"/>
  <c r="N110" i="48"/>
  <c r="N102" i="48"/>
  <c r="N101" i="48"/>
  <c r="N100" i="48"/>
  <c r="N99" i="48"/>
  <c r="N98" i="48"/>
  <c r="N97" i="48"/>
  <c r="N96" i="48"/>
  <c r="N95" i="48"/>
  <c r="N94" i="48"/>
  <c r="N93" i="48"/>
  <c r="N92" i="48"/>
  <c r="N91" i="48"/>
  <c r="N90" i="48"/>
  <c r="N82" i="48"/>
  <c r="N81" i="48"/>
  <c r="N80" i="48"/>
  <c r="N79" i="48"/>
  <c r="N78" i="48"/>
  <c r="N77" i="48"/>
  <c r="N76" i="48"/>
  <c r="N75" i="48"/>
  <c r="N74" i="48"/>
  <c r="N73" i="48"/>
  <c r="N72" i="48"/>
  <c r="N71" i="48"/>
  <c r="N70" i="48"/>
  <c r="N62" i="48"/>
  <c r="N61" i="48"/>
  <c r="N60" i="48"/>
  <c r="N59" i="48"/>
  <c r="N58" i="48"/>
  <c r="N57" i="48"/>
  <c r="N56" i="48"/>
  <c r="N55" i="48"/>
  <c r="N54" i="48"/>
  <c r="N53" i="48"/>
  <c r="N52" i="48"/>
  <c r="N51" i="48"/>
  <c r="N50" i="48"/>
  <c r="V52" i="48"/>
  <c r="N42" i="48"/>
  <c r="N41" i="48"/>
  <c r="N40" i="48"/>
  <c r="N39" i="48"/>
  <c r="N38" i="48"/>
  <c r="N37" i="48"/>
  <c r="N36" i="48"/>
  <c r="N35" i="48"/>
  <c r="N34" i="48"/>
  <c r="N33" i="48"/>
  <c r="N32" i="48"/>
  <c r="N31" i="48"/>
  <c r="N30" i="48"/>
  <c r="C4" i="48"/>
  <c r="D4" i="48"/>
  <c r="B4" i="48"/>
  <c r="F21" i="48" s="1"/>
  <c r="O14" i="48"/>
  <c r="O15" i="48"/>
  <c r="N16" i="48"/>
  <c r="N20" i="48"/>
  <c r="N19" i="48"/>
  <c r="N18" i="48"/>
  <c r="N17" i="48"/>
  <c r="N15" i="48"/>
  <c r="N14" i="48"/>
  <c r="N13" i="48"/>
  <c r="N21" i="48"/>
  <c r="F62" i="48" l="1"/>
  <c r="G62" i="48" s="1"/>
  <c r="F61" i="48"/>
  <c r="G61" i="48" s="1"/>
  <c r="F14" i="48"/>
  <c r="F22" i="48"/>
  <c r="D20" i="50"/>
  <c r="E20" i="50"/>
  <c r="F20" i="50"/>
  <c r="G20" i="50"/>
  <c r="H20" i="50"/>
  <c r="C20" i="50"/>
  <c r="AA10" i="48" l="1"/>
  <c r="G106" i="45" l="1"/>
  <c r="G86" i="45"/>
  <c r="G66" i="45"/>
  <c r="G46" i="45"/>
  <c r="G26" i="45"/>
  <c r="D12" i="56" l="1"/>
  <c r="D11" i="56"/>
  <c r="D9" i="56"/>
  <c r="D8" i="56"/>
  <c r="E12" i="56"/>
  <c r="E11" i="56"/>
  <c r="E10" i="56"/>
  <c r="C10" i="56"/>
  <c r="E9" i="56"/>
  <c r="E7" i="56" s="1"/>
  <c r="E14" i="56" s="1"/>
  <c r="C15" i="53" s="1"/>
  <c r="E8" i="56"/>
  <c r="D7" i="56"/>
  <c r="C7" i="56"/>
  <c r="C14" i="56" s="1"/>
  <c r="C14" i="53" s="1"/>
  <c r="D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D64" i="55"/>
  <c r="C6" i="55"/>
  <c r="E6" i="55" s="1"/>
  <c r="F12" i="56" l="1"/>
  <c r="F11" i="56"/>
  <c r="F9" i="56"/>
  <c r="F8" i="56"/>
  <c r="D10" i="56"/>
  <c r="D14" i="56" s="1"/>
  <c r="D13" i="55"/>
  <c r="D21" i="55"/>
  <c r="D46" i="55"/>
  <c r="D9" i="55"/>
  <c r="D17" i="55"/>
  <c r="D25" i="55"/>
  <c r="D42" i="55"/>
  <c r="D50" i="55"/>
  <c r="B7" i="55"/>
  <c r="D7" i="55"/>
  <c r="D11" i="55"/>
  <c r="D15" i="55"/>
  <c r="D19" i="55"/>
  <c r="D23" i="55"/>
  <c r="D27" i="55"/>
  <c r="D40" i="55"/>
  <c r="D44" i="55"/>
  <c r="D48" i="55"/>
  <c r="D65" i="55"/>
  <c r="D63" i="55"/>
  <c r="D61" i="55"/>
  <c r="D59" i="55"/>
  <c r="D57" i="55"/>
  <c r="D55" i="55"/>
  <c r="D53" i="55"/>
  <c r="D51" i="55"/>
  <c r="D49" i="55"/>
  <c r="D47" i="55"/>
  <c r="D45" i="55"/>
  <c r="D43" i="55"/>
  <c r="D41" i="55"/>
  <c r="D39" i="55"/>
  <c r="D37" i="55"/>
  <c r="D35" i="55"/>
  <c r="D33" i="55"/>
  <c r="D31" i="55"/>
  <c r="D29" i="55"/>
  <c r="F6" i="55"/>
  <c r="E7" i="55"/>
  <c r="D8" i="55"/>
  <c r="D10" i="55"/>
  <c r="D12" i="55"/>
  <c r="D14" i="55"/>
  <c r="D16" i="55"/>
  <c r="D18" i="55"/>
  <c r="D20" i="55"/>
  <c r="D22" i="55"/>
  <c r="D24" i="55"/>
  <c r="D26" i="55"/>
  <c r="D28" i="55"/>
  <c r="D30" i="55"/>
  <c r="D32" i="55"/>
  <c r="D34" i="55"/>
  <c r="D36" i="55"/>
  <c r="D38" i="55"/>
  <c r="D52" i="55"/>
  <c r="D54" i="55"/>
  <c r="D56" i="55"/>
  <c r="D58" i="55"/>
  <c r="D60" i="55"/>
  <c r="D62" i="55"/>
  <c r="C17" i="53" l="1"/>
  <c r="C26" i="50"/>
  <c r="F10" i="56"/>
  <c r="F7" i="56"/>
  <c r="F7" i="55"/>
  <c r="B8" i="55"/>
  <c r="E8" i="55" s="1"/>
  <c r="F8" i="55" s="1"/>
  <c r="D66" i="55"/>
  <c r="B9" i="55"/>
  <c r="F14" i="56" l="1"/>
  <c r="C16" i="53" s="1"/>
  <c r="B10" i="55"/>
  <c r="E9" i="55"/>
  <c r="E10" i="55" l="1"/>
  <c r="F10" i="55" s="1"/>
  <c r="B11" i="55"/>
  <c r="F9" i="55"/>
  <c r="B12" i="55" l="1"/>
  <c r="E11" i="55"/>
  <c r="F11" i="55" s="1"/>
  <c r="B13" i="55" l="1"/>
  <c r="E12" i="55"/>
  <c r="F12" i="55" s="1"/>
  <c r="B14" i="55" l="1"/>
  <c r="E13" i="55"/>
  <c r="F13" i="55" s="1"/>
  <c r="B15" i="55" l="1"/>
  <c r="E14" i="55"/>
  <c r="F14" i="55" s="1"/>
  <c r="B16" i="55" l="1"/>
  <c r="E15" i="55"/>
  <c r="F15" i="55" l="1"/>
  <c r="H15" i="55" s="1"/>
  <c r="C19" i="50" s="1"/>
  <c r="G15" i="55"/>
  <c r="E16" i="55"/>
  <c r="B17" i="55"/>
  <c r="B18" i="55" l="1"/>
  <c r="E17" i="55"/>
  <c r="F17" i="55" s="1"/>
  <c r="F16" i="55"/>
  <c r="B19" i="55" l="1"/>
  <c r="E18" i="55"/>
  <c r="F18" i="55" s="1"/>
  <c r="B20" i="55" l="1"/>
  <c r="E19" i="55"/>
  <c r="F19" i="55" s="1"/>
  <c r="B21" i="55" l="1"/>
  <c r="E20" i="55"/>
  <c r="B22" i="55" l="1"/>
  <c r="E21" i="55"/>
  <c r="F21" i="55" s="1"/>
  <c r="F20" i="55"/>
  <c r="B23" i="55" l="1"/>
  <c r="E22" i="55"/>
  <c r="F22" i="55" l="1"/>
  <c r="B24" i="55"/>
  <c r="E23" i="55"/>
  <c r="F23" i="55" s="1"/>
  <c r="E24" i="55" l="1"/>
  <c r="F24" i="55" s="1"/>
  <c r="B25" i="55"/>
  <c r="B26" i="55" l="1"/>
  <c r="E25" i="55"/>
  <c r="F25" i="55" s="1"/>
  <c r="B27" i="55" l="1"/>
  <c r="E26" i="55"/>
  <c r="F26" i="55" s="1"/>
  <c r="B28" i="55" l="1"/>
  <c r="E27" i="55"/>
  <c r="B29" i="55" l="1"/>
  <c r="E28" i="55"/>
  <c r="F27" i="55"/>
  <c r="H27" i="55" s="1"/>
  <c r="D19" i="50" s="1"/>
  <c r="G27" i="55"/>
  <c r="B30" i="55" l="1"/>
  <c r="E29" i="55"/>
  <c r="F29" i="55" s="1"/>
  <c r="F28" i="55"/>
  <c r="B31" i="55" l="1"/>
  <c r="E30" i="55"/>
  <c r="B32" i="55" l="1"/>
  <c r="E31" i="55"/>
  <c r="F31" i="55" s="1"/>
  <c r="F30" i="55"/>
  <c r="B33" i="55" l="1"/>
  <c r="E32" i="55"/>
  <c r="F32" i="55" l="1"/>
  <c r="B34" i="55"/>
  <c r="E33" i="55"/>
  <c r="F33" i="55" s="1"/>
  <c r="B35" i="55" l="1"/>
  <c r="E34" i="55"/>
  <c r="F34" i="55" s="1"/>
  <c r="B36" i="55" l="1"/>
  <c r="E35" i="55"/>
  <c r="F35" i="55" s="1"/>
  <c r="B37" i="55" l="1"/>
  <c r="E36" i="55"/>
  <c r="F36" i="55" s="1"/>
  <c r="B38" i="55" l="1"/>
  <c r="E37" i="55"/>
  <c r="F37" i="55" s="1"/>
  <c r="B39" i="55" l="1"/>
  <c r="E38" i="55"/>
  <c r="F38" i="55" s="1"/>
  <c r="B40" i="55" l="1"/>
  <c r="E39" i="55"/>
  <c r="F39" i="55" l="1"/>
  <c r="H39" i="55" s="1"/>
  <c r="E19" i="50" s="1"/>
  <c r="G39" i="55"/>
  <c r="B41" i="55"/>
  <c r="E40" i="55"/>
  <c r="F40" i="55" l="1"/>
  <c r="E41" i="55"/>
  <c r="F41" i="55" s="1"/>
  <c r="B42" i="55"/>
  <c r="B43" i="55" l="1"/>
  <c r="E42" i="55"/>
  <c r="F42" i="55" s="1"/>
  <c r="E43" i="55" l="1"/>
  <c r="B44" i="55"/>
  <c r="F43" i="55" l="1"/>
  <c r="B45" i="55"/>
  <c r="E44" i="55"/>
  <c r="F44" i="55" s="1"/>
  <c r="E45" i="55" l="1"/>
  <c r="F45" i="55" s="1"/>
  <c r="B46" i="55"/>
  <c r="B47" i="55" l="1"/>
  <c r="E46" i="55"/>
  <c r="F46" i="55" s="1"/>
  <c r="E47" i="55" l="1"/>
  <c r="F47" i="55" s="1"/>
  <c r="B48" i="55"/>
  <c r="B49" i="55" l="1"/>
  <c r="E48" i="55"/>
  <c r="F48" i="55" s="1"/>
  <c r="E49" i="55" l="1"/>
  <c r="F49" i="55" s="1"/>
  <c r="B50" i="55"/>
  <c r="B51" i="55" l="1"/>
  <c r="E50" i="55"/>
  <c r="F50" i="55" s="1"/>
  <c r="B52" i="55" l="1"/>
  <c r="E51" i="55"/>
  <c r="F51" i="55" l="1"/>
  <c r="H51" i="55" s="1"/>
  <c r="F19" i="50" s="1"/>
  <c r="G51" i="55"/>
  <c r="B53" i="55"/>
  <c r="E52" i="55"/>
  <c r="F52" i="55" l="1"/>
  <c r="B54" i="55"/>
  <c r="E53" i="55"/>
  <c r="F53" i="55" s="1"/>
  <c r="B55" i="55" l="1"/>
  <c r="E54" i="55"/>
  <c r="F54" i="55" s="1"/>
  <c r="B56" i="55" l="1"/>
  <c r="E55" i="55"/>
  <c r="B57" i="55" l="1"/>
  <c r="E56" i="55"/>
  <c r="F56" i="55" s="1"/>
  <c r="F55" i="55"/>
  <c r="B58" i="55" l="1"/>
  <c r="E57" i="55"/>
  <c r="B59" i="55" l="1"/>
  <c r="E58" i="55"/>
  <c r="F58" i="55" s="1"/>
  <c r="F57" i="55"/>
  <c r="B60" i="55" l="1"/>
  <c r="E59" i="55"/>
  <c r="F59" i="55" l="1"/>
  <c r="B61" i="55"/>
  <c r="E60" i="55"/>
  <c r="F60" i="55" s="1"/>
  <c r="B62" i="55" l="1"/>
  <c r="E61" i="55"/>
  <c r="F61" i="55" s="1"/>
  <c r="B63" i="55" l="1"/>
  <c r="E62" i="55"/>
  <c r="F62" i="55" s="1"/>
  <c r="B64" i="55" l="1"/>
  <c r="E63" i="55"/>
  <c r="F63" i="55" l="1"/>
  <c r="H63" i="55" s="1"/>
  <c r="G19" i="50" s="1"/>
  <c r="G63" i="55"/>
  <c r="B65" i="55"/>
  <c r="E65" i="55" s="1"/>
  <c r="E64" i="55"/>
  <c r="G65" i="55" l="1"/>
  <c r="G66" i="55" s="1"/>
  <c r="F64" i="55"/>
  <c r="F65" i="55"/>
  <c r="E66" i="55"/>
  <c r="H65" i="55" l="1"/>
  <c r="F66" i="55"/>
  <c r="H66" i="55" l="1"/>
  <c r="I66" i="55" s="1"/>
  <c r="H19" i="50"/>
  <c r="D7" i="53" l="1"/>
  <c r="E7" i="53"/>
  <c r="F7" i="53"/>
  <c r="G7" i="53"/>
  <c r="H7" i="53"/>
  <c r="C7" i="53"/>
  <c r="G18" i="53"/>
  <c r="E4" i="53"/>
  <c r="F4" i="53" s="1"/>
  <c r="G4" i="53" s="1"/>
  <c r="H4" i="53" s="1"/>
  <c r="D4" i="53"/>
  <c r="C18" i="53" l="1"/>
  <c r="D18" i="53" l="1"/>
  <c r="E18" i="53" l="1"/>
  <c r="F18" i="53" l="1"/>
  <c r="H18" i="53" l="1"/>
  <c r="D25" i="50" l="1"/>
  <c r="E25" i="50" s="1"/>
  <c r="F25" i="50" s="1"/>
  <c r="G25" i="50" s="1"/>
  <c r="H25" i="50" s="1"/>
  <c r="G18" i="50"/>
  <c r="G9" i="53" s="1"/>
  <c r="E18" i="50"/>
  <c r="E9" i="53" s="1"/>
  <c r="C18" i="50"/>
  <c r="H18" i="50"/>
  <c r="H9" i="53" s="1"/>
  <c r="F18" i="50"/>
  <c r="F9" i="53" s="1"/>
  <c r="D18" i="50"/>
  <c r="D9" i="53" s="1"/>
  <c r="C14" i="50"/>
  <c r="H14" i="50"/>
  <c r="G14" i="50"/>
  <c r="F14" i="50"/>
  <c r="E14" i="50"/>
  <c r="D14" i="50"/>
  <c r="H4" i="50"/>
  <c r="G4" i="50"/>
  <c r="F4" i="50"/>
  <c r="E4" i="50"/>
  <c r="D4" i="50"/>
  <c r="E8" i="49"/>
  <c r="C34" i="49"/>
  <c r="G24" i="28" s="1"/>
  <c r="C29" i="49"/>
  <c r="F24" i="28" s="1"/>
  <c r="C24" i="49"/>
  <c r="E24" i="28" s="1"/>
  <c r="C19" i="49"/>
  <c r="D24" i="28" s="1"/>
  <c r="C14" i="49"/>
  <c r="C24" i="28" s="1"/>
  <c r="B13" i="49"/>
  <c r="E13" i="49" s="1"/>
  <c r="H13" i="49" s="1"/>
  <c r="B12" i="49"/>
  <c r="E12" i="49" s="1"/>
  <c r="B11" i="49"/>
  <c r="P9" i="49"/>
  <c r="N9" i="49"/>
  <c r="C9" i="49"/>
  <c r="B24" i="28" s="1"/>
  <c r="P8" i="49"/>
  <c r="N8" i="49"/>
  <c r="H8" i="49"/>
  <c r="P7" i="49"/>
  <c r="P10" i="49" s="1"/>
  <c r="N7" i="49"/>
  <c r="E7" i="49"/>
  <c r="G7" i="49" s="1"/>
  <c r="E6" i="49"/>
  <c r="G6" i="49" s="1"/>
  <c r="H6" i="49" s="1"/>
  <c r="C9" i="53" l="1"/>
  <c r="G9" i="49"/>
  <c r="B16" i="49"/>
  <c r="F16" i="49" s="1"/>
  <c r="F19" i="49" s="1"/>
  <c r="F11" i="49"/>
  <c r="E9" i="49"/>
  <c r="N11" i="49" s="1"/>
  <c r="N10" i="49"/>
  <c r="R8" i="49"/>
  <c r="G12" i="49"/>
  <c r="E16" i="49"/>
  <c r="G16" i="49" s="1"/>
  <c r="B26" i="28"/>
  <c r="E11" i="49"/>
  <c r="E14" i="49" s="1"/>
  <c r="O7" i="49"/>
  <c r="O8" i="49"/>
  <c r="H7" i="49"/>
  <c r="R10" i="49"/>
  <c r="R9" i="49"/>
  <c r="B17" i="49"/>
  <c r="B18" i="49"/>
  <c r="R7" i="49"/>
  <c r="B21" i="49" l="1"/>
  <c r="F21" i="49"/>
  <c r="F24" i="49" s="1"/>
  <c r="G11" i="49"/>
  <c r="G14" i="49" s="1"/>
  <c r="F14" i="49"/>
  <c r="H12" i="49"/>
  <c r="H9" i="49"/>
  <c r="B25" i="28" s="1"/>
  <c r="H11" i="49"/>
  <c r="H14" i="49" s="1"/>
  <c r="C25" i="28" s="1"/>
  <c r="O10" i="49"/>
  <c r="E18" i="49"/>
  <c r="H18" i="49" s="1"/>
  <c r="B23" i="49"/>
  <c r="H16" i="49"/>
  <c r="E21" i="49"/>
  <c r="G21" i="49" s="1"/>
  <c r="B26" i="49"/>
  <c r="E17" i="49"/>
  <c r="G17" i="49" s="1"/>
  <c r="G19" i="49" s="1"/>
  <c r="B22" i="49"/>
  <c r="C26" i="28" l="1"/>
  <c r="E22" i="49"/>
  <c r="E24" i="49" s="1"/>
  <c r="B27" i="49"/>
  <c r="E26" i="49"/>
  <c r="G26" i="49" s="1"/>
  <c r="B31" i="49"/>
  <c r="E23" i="49"/>
  <c r="H23" i="49" s="1"/>
  <c r="B28" i="49"/>
  <c r="E19" i="49"/>
  <c r="D26" i="28" s="1"/>
  <c r="F31" i="49" l="1"/>
  <c r="G22" i="49"/>
  <c r="G24" i="49" s="1"/>
  <c r="H21" i="49"/>
  <c r="E28" i="49"/>
  <c r="H28" i="49" s="1"/>
  <c r="B33" i="49"/>
  <c r="E33" i="49" s="1"/>
  <c r="E31" i="49"/>
  <c r="E27" i="49"/>
  <c r="E29" i="49" s="1"/>
  <c r="B32" i="49"/>
  <c r="H17" i="49"/>
  <c r="H19" i="49" s="1"/>
  <c r="D25" i="28" s="1"/>
  <c r="E32" i="49" l="1"/>
  <c r="G32" i="49" s="1"/>
  <c r="F32" i="49"/>
  <c r="F34" i="49" s="1"/>
  <c r="G31" i="49"/>
  <c r="H22" i="49"/>
  <c r="H24" i="49" s="1"/>
  <c r="E25" i="28" s="1"/>
  <c r="G27" i="49"/>
  <c r="G29" i="49" s="1"/>
  <c r="H26" i="49"/>
  <c r="Q8" i="49"/>
  <c r="S8" i="49" s="1"/>
  <c r="H33" i="49"/>
  <c r="Q9" i="49"/>
  <c r="S9" i="49" s="1"/>
  <c r="E34" i="49"/>
  <c r="Q7" i="49"/>
  <c r="G34" i="49" l="1"/>
  <c r="H32" i="49"/>
  <c r="G26" i="28"/>
  <c r="P11" i="49"/>
  <c r="R11" i="49" s="1"/>
  <c r="H27" i="49"/>
  <c r="H29" i="49" s="1"/>
  <c r="F25" i="28" s="1"/>
  <c r="H31" i="49"/>
  <c r="H34" i="49" s="1"/>
  <c r="G25" i="28" s="1"/>
  <c r="Q10" i="49"/>
  <c r="S10" i="49" s="1"/>
  <c r="S7" i="49"/>
  <c r="C22" i="28" l="1"/>
  <c r="D22" i="28"/>
  <c r="E22" i="28"/>
  <c r="F22" i="28"/>
  <c r="G22" i="28"/>
  <c r="B22" i="28"/>
  <c r="C12" i="3"/>
  <c r="D10" i="3"/>
  <c r="E10" i="3"/>
  <c r="F10" i="3"/>
  <c r="G10" i="3"/>
  <c r="H10" i="3"/>
  <c r="C10" i="3"/>
  <c r="H12" i="3"/>
  <c r="G12" i="3"/>
  <c r="F12" i="3"/>
  <c r="E12" i="3"/>
  <c r="D12" i="3"/>
  <c r="K108" i="45"/>
  <c r="L108" i="45" s="1"/>
  <c r="M108" i="45" s="1"/>
  <c r="K88" i="45"/>
  <c r="L88" i="45" s="1"/>
  <c r="M88" i="45" s="1"/>
  <c r="K68" i="45"/>
  <c r="L68" i="45" s="1"/>
  <c r="M68" i="45" s="1"/>
  <c r="K48" i="45"/>
  <c r="L48" i="45" s="1"/>
  <c r="M48" i="45" s="1"/>
  <c r="K28" i="45"/>
  <c r="L28" i="45" s="1"/>
  <c r="M28" i="45" s="1"/>
  <c r="K8" i="45"/>
  <c r="L8" i="45" s="1"/>
  <c r="M8" i="45" s="1"/>
  <c r="AA11" i="48"/>
  <c r="O19" i="48" l="1"/>
  <c r="O18" i="48"/>
  <c r="O17" i="48"/>
  <c r="O16" i="48"/>
  <c r="F12" i="48" s="1"/>
  <c r="O20" i="48"/>
  <c r="B112" i="45" l="1"/>
  <c r="B92" i="45"/>
  <c r="B72" i="45"/>
  <c r="B52" i="45"/>
  <c r="B12" i="45"/>
  <c r="F12" i="45" s="1"/>
  <c r="G12" i="45" s="1"/>
  <c r="Q123" i="48" l="1"/>
  <c r="G9" i="28" s="1"/>
  <c r="L123" i="48"/>
  <c r="G12" i="28" s="1"/>
  <c r="K123" i="48"/>
  <c r="J123" i="48"/>
  <c r="I123" i="48"/>
  <c r="G11" i="28" s="1"/>
  <c r="H123" i="48"/>
  <c r="G10" i="28" s="1"/>
  <c r="C122" i="48"/>
  <c r="C121" i="48"/>
  <c r="V120" i="48"/>
  <c r="B119" i="45" s="1"/>
  <c r="V119" i="48"/>
  <c r="B118" i="45" s="1"/>
  <c r="V118" i="48"/>
  <c r="B117" i="45" s="1"/>
  <c r="V117" i="48"/>
  <c r="B116" i="45" s="1"/>
  <c r="V116" i="48"/>
  <c r="B115" i="45" s="1"/>
  <c r="V115" i="48"/>
  <c r="B114" i="45" s="1"/>
  <c r="V114" i="48"/>
  <c r="B113" i="45" s="1"/>
  <c r="I113" i="45" s="1"/>
  <c r="J113" i="45" s="1"/>
  <c r="V112" i="48"/>
  <c r="B111" i="45" s="1"/>
  <c r="V111" i="48"/>
  <c r="B110" i="45" s="1"/>
  <c r="V110" i="48"/>
  <c r="B109" i="45" s="1"/>
  <c r="Q103" i="48"/>
  <c r="F9" i="28" s="1"/>
  <c r="L103" i="48"/>
  <c r="F12" i="28" s="1"/>
  <c r="K103" i="48"/>
  <c r="J103" i="48"/>
  <c r="I103" i="48"/>
  <c r="F11" i="28" s="1"/>
  <c r="H103" i="48"/>
  <c r="F10" i="28" s="1"/>
  <c r="C102" i="48"/>
  <c r="C101" i="48"/>
  <c r="V100" i="48"/>
  <c r="B99" i="45" s="1"/>
  <c r="V99" i="48"/>
  <c r="B98" i="45" s="1"/>
  <c r="V98" i="48"/>
  <c r="B97" i="45" s="1"/>
  <c r="V97" i="48"/>
  <c r="B96" i="45" s="1"/>
  <c r="V96" i="48"/>
  <c r="B95" i="45" s="1"/>
  <c r="V95" i="48"/>
  <c r="B94" i="45" s="1"/>
  <c r="V94" i="48"/>
  <c r="B93" i="45" s="1"/>
  <c r="V92" i="48"/>
  <c r="B91" i="45" s="1"/>
  <c r="V91" i="48"/>
  <c r="B90" i="45" s="1"/>
  <c r="V90" i="48"/>
  <c r="B89" i="45" s="1"/>
  <c r="Q83" i="48"/>
  <c r="E9" i="28" s="1"/>
  <c r="L83" i="48"/>
  <c r="E12" i="28" s="1"/>
  <c r="K83" i="48"/>
  <c r="J83" i="48"/>
  <c r="I83" i="48"/>
  <c r="E11" i="28" s="1"/>
  <c r="H83" i="48"/>
  <c r="E10" i="28" s="1"/>
  <c r="C82" i="48"/>
  <c r="C81" i="48"/>
  <c r="V80" i="48"/>
  <c r="B79" i="45" s="1"/>
  <c r="V79" i="48"/>
  <c r="B78" i="45" s="1"/>
  <c r="V78" i="48"/>
  <c r="B77" i="45" s="1"/>
  <c r="V77" i="48"/>
  <c r="B76" i="45" s="1"/>
  <c r="V76" i="48"/>
  <c r="B75" i="45" s="1"/>
  <c r="V75" i="48"/>
  <c r="B74" i="45" s="1"/>
  <c r="V74" i="48"/>
  <c r="B73" i="45" s="1"/>
  <c r="V72" i="48"/>
  <c r="B71" i="45" s="1"/>
  <c r="V71" i="48"/>
  <c r="B70" i="45" s="1"/>
  <c r="V70" i="48"/>
  <c r="B69" i="45" s="1"/>
  <c r="Q63" i="48"/>
  <c r="D9" i="28" s="1"/>
  <c r="L63" i="48"/>
  <c r="D12" i="28" s="1"/>
  <c r="K63" i="48"/>
  <c r="J63" i="48"/>
  <c r="I63" i="48"/>
  <c r="D11" i="28" s="1"/>
  <c r="H63" i="48"/>
  <c r="D10" i="28" s="1"/>
  <c r="C62" i="48"/>
  <c r="C61" i="48"/>
  <c r="V60" i="48"/>
  <c r="B59" i="45" s="1"/>
  <c r="V59" i="48"/>
  <c r="B58" i="45" s="1"/>
  <c r="V58" i="48"/>
  <c r="B57" i="45" s="1"/>
  <c r="V57" i="48"/>
  <c r="B56" i="45" s="1"/>
  <c r="V56" i="48"/>
  <c r="B55" i="45" s="1"/>
  <c r="V55" i="48"/>
  <c r="B54" i="45" s="1"/>
  <c r="V54" i="48"/>
  <c r="B53" i="45" s="1"/>
  <c r="B51" i="45"/>
  <c r="V51" i="48"/>
  <c r="B50" i="45" s="1"/>
  <c r="V50" i="48"/>
  <c r="B49" i="45" s="1"/>
  <c r="Q43" i="48"/>
  <c r="C9" i="28" s="1"/>
  <c r="L43" i="48"/>
  <c r="C12" i="28" s="1"/>
  <c r="K43" i="48"/>
  <c r="J43" i="48"/>
  <c r="I43" i="48"/>
  <c r="H43" i="48"/>
  <c r="C11" i="28" s="1"/>
  <c r="C42" i="48"/>
  <c r="C41" i="48"/>
  <c r="Q23" i="48"/>
  <c r="B9" i="28" s="1"/>
  <c r="L23" i="48"/>
  <c r="B12" i="28" s="1"/>
  <c r="K23" i="48"/>
  <c r="J23" i="48"/>
  <c r="I23" i="48"/>
  <c r="B11" i="28" s="1"/>
  <c r="H23" i="48"/>
  <c r="B10" i="28" s="1"/>
  <c r="B23" i="48"/>
  <c r="R22" i="48"/>
  <c r="N22" i="48"/>
  <c r="R21" i="48"/>
  <c r="V20" i="48"/>
  <c r="B19" i="45" s="1"/>
  <c r="F19" i="45" s="1"/>
  <c r="G19" i="45" s="1"/>
  <c r="U20" i="48"/>
  <c r="D40" i="48" s="1"/>
  <c r="U40" i="48" s="1"/>
  <c r="D60" i="48" s="1"/>
  <c r="U60" i="48" s="1"/>
  <c r="D80" i="48" s="1"/>
  <c r="U80" i="48" s="1"/>
  <c r="D100" i="48" s="1"/>
  <c r="U100" i="48" s="1"/>
  <c r="D120" i="48" s="1"/>
  <c r="U120" i="48" s="1"/>
  <c r="C20" i="48"/>
  <c r="E20" i="48" s="1"/>
  <c r="V19" i="48"/>
  <c r="B18" i="45" s="1"/>
  <c r="F18" i="45" s="1"/>
  <c r="G18" i="45" s="1"/>
  <c r="U19" i="48"/>
  <c r="D39" i="48" s="1"/>
  <c r="U39" i="48" s="1"/>
  <c r="D59" i="48" s="1"/>
  <c r="U59" i="48" s="1"/>
  <c r="D79" i="48" s="1"/>
  <c r="U79" i="48" s="1"/>
  <c r="D99" i="48" s="1"/>
  <c r="U99" i="48" s="1"/>
  <c r="D119" i="48" s="1"/>
  <c r="U119" i="48" s="1"/>
  <c r="C19" i="48"/>
  <c r="E19" i="48" s="1"/>
  <c r="V18" i="48"/>
  <c r="B17" i="45" s="1"/>
  <c r="F17" i="45" s="1"/>
  <c r="G17" i="45" s="1"/>
  <c r="U18" i="48"/>
  <c r="D38" i="48" s="1"/>
  <c r="U38" i="48" s="1"/>
  <c r="D58" i="48" s="1"/>
  <c r="U58" i="48" s="1"/>
  <c r="D78" i="48" s="1"/>
  <c r="U78" i="48" s="1"/>
  <c r="D98" i="48" s="1"/>
  <c r="U98" i="48" s="1"/>
  <c r="D118" i="48" s="1"/>
  <c r="U118" i="48" s="1"/>
  <c r="C18" i="48"/>
  <c r="E18" i="48" s="1"/>
  <c r="V17" i="48"/>
  <c r="B16" i="45" s="1"/>
  <c r="F16" i="45" s="1"/>
  <c r="G16" i="45" s="1"/>
  <c r="U17" i="48"/>
  <c r="D37" i="48" s="1"/>
  <c r="U37" i="48" s="1"/>
  <c r="D57" i="48" s="1"/>
  <c r="U57" i="48" s="1"/>
  <c r="D77" i="48" s="1"/>
  <c r="U77" i="48" s="1"/>
  <c r="D97" i="48" s="1"/>
  <c r="U97" i="48" s="1"/>
  <c r="D117" i="48" s="1"/>
  <c r="U117" i="48" s="1"/>
  <c r="C17" i="48"/>
  <c r="E17" i="48" s="1"/>
  <c r="V16" i="48"/>
  <c r="B15" i="45" s="1"/>
  <c r="F15" i="45" s="1"/>
  <c r="G15" i="45" s="1"/>
  <c r="U16" i="48"/>
  <c r="D36" i="48" s="1"/>
  <c r="U36" i="48" s="1"/>
  <c r="D56" i="48" s="1"/>
  <c r="U56" i="48" s="1"/>
  <c r="D76" i="48" s="1"/>
  <c r="U76" i="48" s="1"/>
  <c r="D96" i="48" s="1"/>
  <c r="U96" i="48" s="1"/>
  <c r="D116" i="48" s="1"/>
  <c r="U116" i="48" s="1"/>
  <c r="C16" i="48"/>
  <c r="E16" i="48" s="1"/>
  <c r="V15" i="48"/>
  <c r="B14" i="45" s="1"/>
  <c r="F14" i="45" s="1"/>
  <c r="G14" i="45" s="1"/>
  <c r="U15" i="48"/>
  <c r="D35" i="48" s="1"/>
  <c r="U35" i="48" s="1"/>
  <c r="D55" i="48" s="1"/>
  <c r="U55" i="48" s="1"/>
  <c r="D75" i="48" s="1"/>
  <c r="U75" i="48" s="1"/>
  <c r="D95" i="48" s="1"/>
  <c r="U95" i="48" s="1"/>
  <c r="D115" i="48" s="1"/>
  <c r="U115" i="48" s="1"/>
  <c r="C15" i="48"/>
  <c r="E15" i="48" s="1"/>
  <c r="V14" i="48"/>
  <c r="B13" i="45" s="1"/>
  <c r="F13" i="45" s="1"/>
  <c r="G13" i="45" s="1"/>
  <c r="U14" i="48"/>
  <c r="D34" i="48" s="1"/>
  <c r="U34" i="48" s="1"/>
  <c r="D54" i="48" s="1"/>
  <c r="U54" i="48" s="1"/>
  <c r="D74" i="48" s="1"/>
  <c r="U74" i="48" s="1"/>
  <c r="D94" i="48" s="1"/>
  <c r="U94" i="48" s="1"/>
  <c r="D114" i="48" s="1"/>
  <c r="U114" i="48" s="1"/>
  <c r="C14" i="48"/>
  <c r="E14" i="48" s="1"/>
  <c r="U13" i="48"/>
  <c r="D33" i="48" s="1"/>
  <c r="U33" i="48" s="1"/>
  <c r="D53" i="48" s="1"/>
  <c r="U53" i="48" s="1"/>
  <c r="D73" i="48" s="1"/>
  <c r="U73" i="48" s="1"/>
  <c r="D93" i="48" s="1"/>
  <c r="U93" i="48" s="1"/>
  <c r="D113" i="48" s="1"/>
  <c r="U113" i="48" s="1"/>
  <c r="S13" i="48"/>
  <c r="B33" i="48" s="1"/>
  <c r="AA33" i="48" s="1"/>
  <c r="C13" i="48"/>
  <c r="V12" i="48"/>
  <c r="B11" i="45" s="1"/>
  <c r="F11" i="45" s="1"/>
  <c r="G11" i="45" s="1"/>
  <c r="U12" i="48"/>
  <c r="D32" i="48" s="1"/>
  <c r="U32" i="48" s="1"/>
  <c r="D52" i="48" s="1"/>
  <c r="U52" i="48" s="1"/>
  <c r="D72" i="48" s="1"/>
  <c r="U72" i="48" s="1"/>
  <c r="D92" i="48" s="1"/>
  <c r="U92" i="48" s="1"/>
  <c r="D112" i="48" s="1"/>
  <c r="U112" i="48" s="1"/>
  <c r="E12" i="48"/>
  <c r="C12" i="48"/>
  <c r="V11" i="48"/>
  <c r="B10" i="45" s="1"/>
  <c r="F10" i="45" s="1"/>
  <c r="G10" i="45" s="1"/>
  <c r="U11" i="48"/>
  <c r="D31" i="48" s="1"/>
  <c r="U31" i="48" s="1"/>
  <c r="D51" i="48" s="1"/>
  <c r="S11" i="48"/>
  <c r="C11" i="48"/>
  <c r="E11" i="48" s="1"/>
  <c r="V10" i="48"/>
  <c r="B9" i="45" s="1"/>
  <c r="U10" i="48"/>
  <c r="D30" i="48" s="1"/>
  <c r="S10" i="48"/>
  <c r="T10" i="48" s="1"/>
  <c r="E10" i="48"/>
  <c r="C10" i="48"/>
  <c r="S33" i="48" l="1"/>
  <c r="T33" i="48" s="1"/>
  <c r="V33" i="48"/>
  <c r="B32" i="45" s="1"/>
  <c r="F9" i="45"/>
  <c r="G9" i="45" s="1"/>
  <c r="L9" i="45"/>
  <c r="M9" i="45" s="1"/>
  <c r="C23" i="48"/>
  <c r="O21" i="48"/>
  <c r="AA21" i="48" s="1"/>
  <c r="B7" i="28"/>
  <c r="R43" i="48"/>
  <c r="V22" i="48"/>
  <c r="B21" i="45" s="1"/>
  <c r="F21" i="45" s="1"/>
  <c r="G21" i="45" s="1"/>
  <c r="O22" i="48"/>
  <c r="S22" i="48" s="1"/>
  <c r="B42" i="48" s="1"/>
  <c r="N23" i="48"/>
  <c r="T13" i="48"/>
  <c r="G22" i="48"/>
  <c r="C10" i="28"/>
  <c r="U30" i="48"/>
  <c r="D50" i="48" s="1"/>
  <c r="U50" i="48" s="1"/>
  <c r="D70" i="48" s="1"/>
  <c r="N43" i="48"/>
  <c r="U51" i="48"/>
  <c r="E23" i="48"/>
  <c r="B31" i="48"/>
  <c r="T11" i="48"/>
  <c r="C31" i="48" s="1"/>
  <c r="E31" i="48" s="1"/>
  <c r="B53" i="48"/>
  <c r="AA53" i="48" s="1"/>
  <c r="R23" i="48"/>
  <c r="B30" i="48"/>
  <c r="R103" i="48"/>
  <c r="G21" i="48"/>
  <c r="R63" i="48"/>
  <c r="R83" i="48"/>
  <c r="R123" i="48"/>
  <c r="C53" i="48" l="1"/>
  <c r="S53" i="48"/>
  <c r="B73" i="48" s="1"/>
  <c r="AA73" i="48" s="1"/>
  <c r="C33" i="48"/>
  <c r="W33" i="48" s="1"/>
  <c r="X33" i="48" s="1"/>
  <c r="W13" i="48"/>
  <c r="X13" i="48" s="1"/>
  <c r="S21" i="48"/>
  <c r="B41" i="48" s="1"/>
  <c r="F19" i="48"/>
  <c r="AA19" i="48" s="1"/>
  <c r="P21" i="48"/>
  <c r="G19" i="48" s="1"/>
  <c r="AA22" i="48"/>
  <c r="S31" i="48"/>
  <c r="B51" i="48" s="1"/>
  <c r="AA31" i="48"/>
  <c r="B13" i="28"/>
  <c r="B17" i="28" s="1"/>
  <c r="M23" i="48"/>
  <c r="C13" i="28"/>
  <c r="C17" i="28" s="1"/>
  <c r="M43" i="48"/>
  <c r="P22" i="48"/>
  <c r="F20" i="48"/>
  <c r="C30" i="48"/>
  <c r="E30" i="48"/>
  <c r="Y23" i="48"/>
  <c r="V21" i="48"/>
  <c r="P20" i="48"/>
  <c r="G18" i="48" s="1"/>
  <c r="D71" i="48"/>
  <c r="U71" i="48" s="1"/>
  <c r="D91" i="48" s="1"/>
  <c r="N63" i="48"/>
  <c r="T53" i="48"/>
  <c r="U70" i="48"/>
  <c r="D90" i="48" s="1"/>
  <c r="U90" i="48" s="1"/>
  <c r="D110" i="48" s="1"/>
  <c r="N83" i="48"/>
  <c r="S73" i="48" l="1"/>
  <c r="T73" i="48" s="1"/>
  <c r="C73" i="48"/>
  <c r="W53" i="48"/>
  <c r="X53" i="48" s="1"/>
  <c r="T31" i="48"/>
  <c r="C51" i="48" s="1"/>
  <c r="E51" i="48" s="1"/>
  <c r="V31" i="48"/>
  <c r="B30" i="45" s="1"/>
  <c r="W21" i="48"/>
  <c r="X21" i="48" s="1"/>
  <c r="F18" i="48"/>
  <c r="AA18" i="48" s="1"/>
  <c r="AA20" i="48"/>
  <c r="C5" i="3"/>
  <c r="C6" i="3" s="1"/>
  <c r="E13" i="28"/>
  <c r="E17" i="28" s="1"/>
  <c r="M83" i="48"/>
  <c r="D13" i="28"/>
  <c r="D17" i="28" s="1"/>
  <c r="M63" i="48"/>
  <c r="S20" i="48"/>
  <c r="B40" i="48" s="1"/>
  <c r="V23" i="48"/>
  <c r="D18" i="29" s="1"/>
  <c r="B20" i="45"/>
  <c r="F20" i="45" s="1"/>
  <c r="G20" i="45" s="1"/>
  <c r="G20" i="48"/>
  <c r="W22" i="48"/>
  <c r="X22" i="48" s="1"/>
  <c r="P19" i="48"/>
  <c r="G17" i="48" s="1"/>
  <c r="F17" i="48"/>
  <c r="AA17" i="48" s="1"/>
  <c r="U91" i="48"/>
  <c r="U110" i="48"/>
  <c r="N123" i="48"/>
  <c r="S19" i="48"/>
  <c r="S18" i="48"/>
  <c r="F5" i="4"/>
  <c r="B93" i="48" l="1"/>
  <c r="AA93" i="48" s="1"/>
  <c r="C93" i="48"/>
  <c r="W73" i="48"/>
  <c r="X73" i="48" s="1"/>
  <c r="O40" i="48"/>
  <c r="C8" i="3"/>
  <c r="C13" i="3" s="1"/>
  <c r="C7" i="50" s="1"/>
  <c r="C6" i="50" s="1"/>
  <c r="G13" i="28"/>
  <c r="G17" i="28" s="1"/>
  <c r="M123" i="48"/>
  <c r="T20" i="48"/>
  <c r="W20" i="48" s="1"/>
  <c r="X20" i="48" s="1"/>
  <c r="B38" i="48"/>
  <c r="O38" i="48" s="1"/>
  <c r="T18" i="48"/>
  <c r="B39" i="48"/>
  <c r="T19" i="48"/>
  <c r="P18" i="48"/>
  <c r="G16" i="48" s="1"/>
  <c r="F16" i="48"/>
  <c r="AA16" i="48" s="1"/>
  <c r="N103" i="48"/>
  <c r="D111" i="48"/>
  <c r="U111" i="48" s="1"/>
  <c r="S93" i="48" l="1"/>
  <c r="O39" i="48"/>
  <c r="C6" i="53"/>
  <c r="C5" i="50"/>
  <c r="C40" i="48"/>
  <c r="E40" i="48" s="1"/>
  <c r="F13" i="28"/>
  <c r="F17" i="28" s="1"/>
  <c r="M103" i="48"/>
  <c r="P17" i="48"/>
  <c r="G15" i="48" s="1"/>
  <c r="F15" i="48"/>
  <c r="AA15" i="48" s="1"/>
  <c r="S16" i="48"/>
  <c r="S17" i="48"/>
  <c r="C39" i="48"/>
  <c r="E39" i="48" s="1"/>
  <c r="W19" i="48"/>
  <c r="X19" i="48" s="1"/>
  <c r="C38" i="48"/>
  <c r="E38" i="48" s="1"/>
  <c r="W18" i="48"/>
  <c r="X18" i="48" s="1"/>
  <c r="B113" i="48" l="1"/>
  <c r="T93" i="48"/>
  <c r="B37" i="48"/>
  <c r="O37" i="48" s="1"/>
  <c r="T17" i="48"/>
  <c r="B36" i="48"/>
  <c r="T16" i="48"/>
  <c r="P16" i="48"/>
  <c r="G12" i="48" s="1"/>
  <c r="AA12" i="48"/>
  <c r="P14" i="30"/>
  <c r="P26" i="30"/>
  <c r="H6" i="46"/>
  <c r="H4" i="46" s="1"/>
  <c r="H21" i="46" s="1"/>
  <c r="I6" i="46"/>
  <c r="I4" i="46" s="1"/>
  <c r="I21" i="46" s="1"/>
  <c r="J6" i="46"/>
  <c r="J4" i="46" s="1"/>
  <c r="J21" i="46" s="1"/>
  <c r="K6" i="46"/>
  <c r="K4" i="46" s="1"/>
  <c r="K21" i="46" s="1"/>
  <c r="L6" i="46"/>
  <c r="L4" i="46" s="1"/>
  <c r="L21" i="46" s="1"/>
  <c r="M6" i="46"/>
  <c r="M4" i="46" s="1"/>
  <c r="M21" i="46" s="1"/>
  <c r="N6" i="46"/>
  <c r="N4" i="46" s="1"/>
  <c r="N21" i="46" s="1"/>
  <c r="O6" i="46"/>
  <c r="O4" i="46" s="1"/>
  <c r="O21" i="46" s="1"/>
  <c r="G6" i="46"/>
  <c r="G4" i="46" s="1"/>
  <c r="G21" i="46" s="1"/>
  <c r="AA113" i="48" l="1"/>
  <c r="S113" i="48"/>
  <c r="T113" i="48" s="1"/>
  <c r="W93" i="48"/>
  <c r="X93" i="48" s="1"/>
  <c r="C113" i="48"/>
  <c r="O36" i="48"/>
  <c r="S12" i="48"/>
  <c r="B6" i="28" s="1"/>
  <c r="O23" i="48"/>
  <c r="C36" i="48"/>
  <c r="E36" i="48" s="1"/>
  <c r="W16" i="48"/>
  <c r="X16" i="48" s="1"/>
  <c r="C37" i="48"/>
  <c r="E37" i="48" s="1"/>
  <c r="W17" i="48"/>
  <c r="X17" i="48" s="1"/>
  <c r="S15" i="48"/>
  <c r="W113" i="48" l="1"/>
  <c r="X113" i="48" s="1"/>
  <c r="S14" i="48"/>
  <c r="T14" i="48" s="1"/>
  <c r="AA14" i="48"/>
  <c r="F23" i="48"/>
  <c r="G14" i="48"/>
  <c r="G23" i="48" s="1"/>
  <c r="P23" i="48"/>
  <c r="B35" i="48"/>
  <c r="T15" i="48"/>
  <c r="B32" i="48"/>
  <c r="T12" i="48"/>
  <c r="D6" i="37"/>
  <c r="D7" i="37" s="1"/>
  <c r="D8" i="37" s="1"/>
  <c r="D9" i="37" s="1"/>
  <c r="D10" i="37" s="1"/>
  <c r="D11" i="37" s="1"/>
  <c r="D12" i="37" s="1"/>
  <c r="D13" i="37" s="1"/>
  <c r="D14" i="37" s="1"/>
  <c r="D15" i="37" s="1"/>
  <c r="D16" i="37" s="1"/>
  <c r="D17" i="37" s="1"/>
  <c r="D18" i="37" s="1"/>
  <c r="D19" i="37" s="1"/>
  <c r="D20" i="37" s="1"/>
  <c r="D21" i="37" s="1"/>
  <c r="D22" i="37" s="1"/>
  <c r="D23" i="37" s="1"/>
  <c r="D24" i="37" s="1"/>
  <c r="D25" i="37" s="1"/>
  <c r="D26" i="37" s="1"/>
  <c r="D27" i="37" s="1"/>
  <c r="D28" i="37" s="1"/>
  <c r="D29" i="37" s="1"/>
  <c r="D30" i="37" s="1"/>
  <c r="D31" i="37" s="1"/>
  <c r="D32" i="37" s="1"/>
  <c r="D33" i="37" s="1"/>
  <c r="D34" i="37" s="1"/>
  <c r="D35" i="37" s="1"/>
  <c r="D36" i="37" s="1"/>
  <c r="D37" i="37" s="1"/>
  <c r="D38" i="37" s="1"/>
  <c r="D39" i="37" s="1"/>
  <c r="D40" i="37" s="1"/>
  <c r="F26" i="30"/>
  <c r="G26" i="30" s="1"/>
  <c r="H26" i="30" s="1"/>
  <c r="I26" i="30" s="1"/>
  <c r="J26" i="30" s="1"/>
  <c r="K26" i="30" s="1"/>
  <c r="F24" i="30"/>
  <c r="G24" i="30" s="1"/>
  <c r="H24" i="30" s="1"/>
  <c r="I24" i="30" s="1"/>
  <c r="J24" i="30" s="1"/>
  <c r="K24" i="30" s="1"/>
  <c r="F42" i="48" l="1"/>
  <c r="F41" i="48"/>
  <c r="B34" i="48"/>
  <c r="O34" i="48" s="1"/>
  <c r="S23" i="48"/>
  <c r="B5" i="28" s="1"/>
  <c r="O35" i="48"/>
  <c r="E32" i="48"/>
  <c r="B43" i="48"/>
  <c r="C34" i="48"/>
  <c r="E34" i="48" s="1"/>
  <c r="W14" i="48"/>
  <c r="X14" i="48" s="1"/>
  <c r="C32" i="48"/>
  <c r="T23" i="48"/>
  <c r="C35" i="48"/>
  <c r="E35" i="48" s="1"/>
  <c r="W15" i="48"/>
  <c r="X15" i="48" s="1"/>
  <c r="D8" i="15"/>
  <c r="E8" i="15" s="1"/>
  <c r="F8" i="15" s="1"/>
  <c r="G8" i="15" s="1"/>
  <c r="S30" i="48" l="1"/>
  <c r="T30" i="48" s="1"/>
  <c r="C50" i="48" s="1"/>
  <c r="AA30" i="48"/>
  <c r="C7" i="28"/>
  <c r="W23" i="48"/>
  <c r="E43" i="48"/>
  <c r="O42" i="48"/>
  <c r="AA42" i="48" s="1"/>
  <c r="G42" i="48"/>
  <c r="V42" i="48"/>
  <c r="B41" i="45" s="1"/>
  <c r="C43" i="48"/>
  <c r="O41" i="48"/>
  <c r="AA41" i="48" s="1"/>
  <c r="G41" i="48"/>
  <c r="S41" i="48"/>
  <c r="B61" i="48" s="1"/>
  <c r="E25" i="30"/>
  <c r="F25" i="30" s="1"/>
  <c r="G25" i="30" s="1"/>
  <c r="H25" i="30" s="1"/>
  <c r="I25" i="30" s="1"/>
  <c r="J25" i="30" s="1"/>
  <c r="K25" i="30" s="1"/>
  <c r="V30" i="48" l="1"/>
  <c r="B29" i="45" s="1"/>
  <c r="B50" i="48"/>
  <c r="AA50" i="48" s="1"/>
  <c r="V41" i="48"/>
  <c r="F40" i="48"/>
  <c r="AA40" i="48" s="1"/>
  <c r="V40" i="48" s="1"/>
  <c r="B39" i="45" s="1"/>
  <c r="P42" i="48"/>
  <c r="P41" i="48"/>
  <c r="F39" i="48"/>
  <c r="AA39" i="48" s="1"/>
  <c r="V39" i="48" s="1"/>
  <c r="B38" i="45" s="1"/>
  <c r="S42" i="48"/>
  <c r="B62" i="48" s="1"/>
  <c r="R117" i="7"/>
  <c r="E50" i="48" l="1"/>
  <c r="S50" i="48"/>
  <c r="B70" i="48" s="1"/>
  <c r="B40" i="45"/>
  <c r="G39" i="48"/>
  <c r="W41" i="48"/>
  <c r="X41" i="48" s="1"/>
  <c r="W42" i="48"/>
  <c r="X42" i="48" s="1"/>
  <c r="G40" i="48"/>
  <c r="A24" i="45"/>
  <c r="A44" i="45" s="1"/>
  <c r="A64" i="45" s="1"/>
  <c r="A84" i="45" s="1"/>
  <c r="A104" i="45" s="1"/>
  <c r="C121" i="45"/>
  <c r="C120" i="45"/>
  <c r="C119" i="45"/>
  <c r="C118" i="45"/>
  <c r="C117" i="45"/>
  <c r="C116" i="45"/>
  <c r="C115" i="45"/>
  <c r="C114" i="45"/>
  <c r="C113" i="45"/>
  <c r="C112" i="45"/>
  <c r="C111" i="45"/>
  <c r="C110" i="45"/>
  <c r="C109" i="45"/>
  <c r="C101" i="45"/>
  <c r="C100" i="45"/>
  <c r="C99" i="45"/>
  <c r="C98" i="45"/>
  <c r="C97" i="45"/>
  <c r="C96" i="45"/>
  <c r="C95" i="45"/>
  <c r="C94" i="45"/>
  <c r="C93" i="45"/>
  <c r="C92" i="45"/>
  <c r="C91" i="45"/>
  <c r="C90" i="45"/>
  <c r="C89" i="45"/>
  <c r="C81" i="45"/>
  <c r="C80" i="45"/>
  <c r="C79" i="45"/>
  <c r="C78" i="45"/>
  <c r="C77" i="45"/>
  <c r="C76" i="45"/>
  <c r="C75" i="45"/>
  <c r="C74" i="45"/>
  <c r="C73" i="45"/>
  <c r="C72" i="45"/>
  <c r="C71" i="45"/>
  <c r="C70" i="45"/>
  <c r="C69" i="45"/>
  <c r="C61" i="45"/>
  <c r="C60" i="45"/>
  <c r="C59" i="45"/>
  <c r="C58" i="45"/>
  <c r="C57" i="45"/>
  <c r="C56" i="45"/>
  <c r="C55" i="45"/>
  <c r="C54" i="45"/>
  <c r="C53" i="45"/>
  <c r="C52" i="45"/>
  <c r="C51" i="45"/>
  <c r="C50" i="45"/>
  <c r="C49" i="45"/>
  <c r="C41" i="45"/>
  <c r="C40" i="45"/>
  <c r="C39" i="45"/>
  <c r="C38" i="45"/>
  <c r="C37" i="45"/>
  <c r="C36" i="45"/>
  <c r="C35" i="45"/>
  <c r="C34" i="45"/>
  <c r="C33" i="45"/>
  <c r="C32" i="45"/>
  <c r="C31" i="45"/>
  <c r="C30" i="45"/>
  <c r="C29" i="45"/>
  <c r="C10" i="45"/>
  <c r="C11" i="45"/>
  <c r="C12" i="45"/>
  <c r="C13" i="45"/>
  <c r="C14" i="45"/>
  <c r="C15" i="45"/>
  <c r="C16" i="45"/>
  <c r="C17" i="45"/>
  <c r="C18" i="45"/>
  <c r="C19" i="45"/>
  <c r="C20" i="45"/>
  <c r="C21" i="45"/>
  <c r="C9" i="45"/>
  <c r="C184" i="25"/>
  <c r="C183" i="25"/>
  <c r="C182" i="25"/>
  <c r="C181" i="25"/>
  <c r="C180" i="25"/>
  <c r="C179" i="25"/>
  <c r="C178" i="25"/>
  <c r="C177" i="25"/>
  <c r="C176" i="25"/>
  <c r="C175" i="25"/>
  <c r="C174" i="25"/>
  <c r="C172" i="25"/>
  <c r="C171" i="25"/>
  <c r="C161" i="25"/>
  <c r="C160" i="25"/>
  <c r="C159" i="25"/>
  <c r="C158" i="25"/>
  <c r="C157" i="25"/>
  <c r="C156" i="25"/>
  <c r="C155" i="25"/>
  <c r="C154" i="25"/>
  <c r="C153" i="25"/>
  <c r="C152" i="25"/>
  <c r="C151" i="25"/>
  <c r="C149" i="25"/>
  <c r="C148" i="25"/>
  <c r="C138" i="25"/>
  <c r="C137" i="25"/>
  <c r="C136" i="25"/>
  <c r="C135" i="25"/>
  <c r="C134" i="25"/>
  <c r="C133" i="25"/>
  <c r="C132" i="25"/>
  <c r="C131" i="25"/>
  <c r="C130" i="25"/>
  <c r="C129" i="25"/>
  <c r="C128" i="25"/>
  <c r="C126" i="25"/>
  <c r="C125" i="25"/>
  <c r="C115" i="25"/>
  <c r="C114" i="25"/>
  <c r="C113" i="25"/>
  <c r="C112" i="25"/>
  <c r="C111" i="25"/>
  <c r="C110" i="25"/>
  <c r="C109" i="25"/>
  <c r="C108" i="25"/>
  <c r="C107" i="25"/>
  <c r="C106" i="25"/>
  <c r="C105" i="25"/>
  <c r="C103" i="25"/>
  <c r="C102" i="25"/>
  <c r="C92" i="25"/>
  <c r="C91" i="25"/>
  <c r="C90" i="25"/>
  <c r="C89" i="25"/>
  <c r="C88" i="25"/>
  <c r="C87" i="25"/>
  <c r="C86" i="25"/>
  <c r="C85" i="25"/>
  <c r="C84" i="25"/>
  <c r="C83" i="25"/>
  <c r="C82" i="25"/>
  <c r="C80" i="25"/>
  <c r="C79" i="25"/>
  <c r="C69" i="25"/>
  <c r="C68" i="25"/>
  <c r="C67" i="25"/>
  <c r="C66" i="25"/>
  <c r="C65" i="25"/>
  <c r="C64" i="25"/>
  <c r="C63" i="25"/>
  <c r="C62" i="25"/>
  <c r="C61" i="25"/>
  <c r="C60" i="25"/>
  <c r="C59" i="25"/>
  <c r="C57" i="25"/>
  <c r="C56" i="25"/>
  <c r="C46" i="25"/>
  <c r="C45" i="25"/>
  <c r="C44" i="25"/>
  <c r="C43" i="25"/>
  <c r="C42" i="25"/>
  <c r="C41" i="25"/>
  <c r="C40" i="25"/>
  <c r="C39" i="25"/>
  <c r="C38" i="25"/>
  <c r="C37" i="25"/>
  <c r="C36" i="25"/>
  <c r="C34" i="25"/>
  <c r="C33" i="25"/>
  <c r="C14" i="25"/>
  <c r="C15" i="25"/>
  <c r="C16" i="25"/>
  <c r="C17" i="25"/>
  <c r="C18" i="25"/>
  <c r="C19" i="25"/>
  <c r="C20" i="25"/>
  <c r="C21" i="25"/>
  <c r="C22" i="25"/>
  <c r="C23" i="25"/>
  <c r="C13" i="25"/>
  <c r="C11" i="25"/>
  <c r="C10" i="25"/>
  <c r="C108" i="45"/>
  <c r="D108" i="45" s="1"/>
  <c r="G108" i="45" s="1"/>
  <c r="H108" i="45" s="1"/>
  <c r="I108" i="45" s="1"/>
  <c r="J108" i="45" s="1"/>
  <c r="C88" i="45"/>
  <c r="D88" i="45" s="1"/>
  <c r="F88" i="45" s="1"/>
  <c r="G88" i="45" s="1"/>
  <c r="H88" i="45" s="1"/>
  <c r="I88" i="45" s="1"/>
  <c r="J88" i="45" s="1"/>
  <c r="C68" i="45"/>
  <c r="D68" i="45" s="1"/>
  <c r="F68" i="45" s="1"/>
  <c r="G68" i="45" s="1"/>
  <c r="H68" i="45" s="1"/>
  <c r="I68" i="45" s="1"/>
  <c r="J68" i="45" s="1"/>
  <c r="C48" i="45"/>
  <c r="D48" i="45" s="1"/>
  <c r="F48" i="45" s="1"/>
  <c r="G48" i="45" s="1"/>
  <c r="H48" i="45" s="1"/>
  <c r="I48" i="45" s="1"/>
  <c r="J48" i="45" s="1"/>
  <c r="C28" i="45"/>
  <c r="D28" i="45" s="1"/>
  <c r="F28" i="45" s="1"/>
  <c r="G28" i="45" s="1"/>
  <c r="H28" i="45" s="1"/>
  <c r="I28" i="45" s="1"/>
  <c r="J28" i="45" s="1"/>
  <c r="C8" i="45"/>
  <c r="D8" i="45" s="1"/>
  <c r="F8" i="45" s="1"/>
  <c r="G8" i="45" s="1"/>
  <c r="H8" i="45" s="1"/>
  <c r="I8" i="45" s="1"/>
  <c r="J8" i="45" s="1"/>
  <c r="T50" i="48" l="1"/>
  <c r="C70" i="48" s="1"/>
  <c r="E70" i="48"/>
  <c r="F38" i="48"/>
  <c r="AA38" i="48" s="1"/>
  <c r="V38" i="48" s="1"/>
  <c r="B37" i="45" s="1"/>
  <c r="P40" i="48"/>
  <c r="G38" i="48" s="1"/>
  <c r="F37" i="48"/>
  <c r="AA37" i="48" s="1"/>
  <c r="V37" i="48" s="1"/>
  <c r="B36" i="45" s="1"/>
  <c r="P39" i="48"/>
  <c r="G37" i="48" s="1"/>
  <c r="S40" i="48"/>
  <c r="S39" i="48"/>
  <c r="B60" i="48" l="1"/>
  <c r="T40" i="48"/>
  <c r="S37" i="48"/>
  <c r="S38" i="48"/>
  <c r="B59" i="48"/>
  <c r="T39" i="48"/>
  <c r="C5" i="43"/>
  <c r="O59" i="48" l="1"/>
  <c r="O60" i="48"/>
  <c r="C59" i="48"/>
  <c r="E59" i="48" s="1"/>
  <c r="W39" i="48"/>
  <c r="X39" i="48" s="1"/>
  <c r="B58" i="48"/>
  <c r="T38" i="48"/>
  <c r="B57" i="48"/>
  <c r="T37" i="48"/>
  <c r="W40" i="48"/>
  <c r="X40" i="48" s="1"/>
  <c r="C60" i="48"/>
  <c r="E60" i="48" s="1"/>
  <c r="F36" i="48"/>
  <c r="AA36" i="48" s="1"/>
  <c r="V36" i="48" s="1"/>
  <c r="B35" i="45" s="1"/>
  <c r="P38" i="48"/>
  <c r="G36" i="48" s="1"/>
  <c r="F35" i="48"/>
  <c r="AA35" i="48" s="1"/>
  <c r="V35" i="48" s="1"/>
  <c r="B34" i="45" s="1"/>
  <c r="P37" i="48"/>
  <c r="G35" i="48" s="1"/>
  <c r="B14" i="28"/>
  <c r="B16" i="28" s="1"/>
  <c r="I52" i="45"/>
  <c r="J52" i="45" s="1"/>
  <c r="L52" i="45"/>
  <c r="M52" i="45" s="1"/>
  <c r="F52" i="45"/>
  <c r="G52" i="45" s="1"/>
  <c r="L30" i="45"/>
  <c r="M30" i="45" s="1"/>
  <c r="F30" i="45"/>
  <c r="G30" i="45" s="1"/>
  <c r="I30" i="45"/>
  <c r="J30" i="45" s="1"/>
  <c r="I10" i="45"/>
  <c r="J10" i="45" s="1"/>
  <c r="L10" i="45"/>
  <c r="M10" i="45" s="1"/>
  <c r="C27" i="41"/>
  <c r="C28" i="41"/>
  <c r="D23" i="41"/>
  <c r="G23" i="41"/>
  <c r="F23" i="41"/>
  <c r="E23" i="41"/>
  <c r="C25" i="41"/>
  <c r="C26" i="41"/>
  <c r="B24" i="41"/>
  <c r="B23" i="41"/>
  <c r="B22" i="41"/>
  <c r="G13" i="41"/>
  <c r="F13" i="41"/>
  <c r="E13" i="41"/>
  <c r="D13" i="41"/>
  <c r="C3" i="42"/>
  <c r="E10" i="41"/>
  <c r="F10" i="41"/>
  <c r="G10" i="41"/>
  <c r="H10" i="41"/>
  <c r="I10" i="41"/>
  <c r="J10" i="41"/>
  <c r="K10" i="41"/>
  <c r="D10" i="41"/>
  <c r="E7" i="41"/>
  <c r="F7" i="41"/>
  <c r="G7" i="41"/>
  <c r="H7" i="41"/>
  <c r="I7" i="41"/>
  <c r="J7" i="41"/>
  <c r="K7" i="41"/>
  <c r="D7" i="41"/>
  <c r="C8" i="41"/>
  <c r="C9" i="41"/>
  <c r="C11" i="41"/>
  <c r="C12" i="41"/>
  <c r="C14" i="41"/>
  <c r="C15" i="41"/>
  <c r="C17" i="41"/>
  <c r="C19" i="41"/>
  <c r="C6" i="41"/>
  <c r="B4" i="40"/>
  <c r="B5" i="40"/>
  <c r="B6" i="40"/>
  <c r="A6" i="40"/>
  <c r="A5" i="40"/>
  <c r="A4" i="40"/>
  <c r="A3" i="40"/>
  <c r="A2" i="40"/>
  <c r="C5" i="39"/>
  <c r="G17" i="38"/>
  <c r="G14" i="38"/>
  <c r="G11" i="38"/>
  <c r="G8" i="38"/>
  <c r="G7" i="38"/>
  <c r="G15" i="38"/>
  <c r="G12" i="38"/>
  <c r="G9" i="38"/>
  <c r="G6" i="38"/>
  <c r="G5" i="38"/>
  <c r="G4" i="38"/>
  <c r="G3" i="38"/>
  <c r="D17" i="38"/>
  <c r="D15" i="38"/>
  <c r="D14" i="38"/>
  <c r="D12" i="38"/>
  <c r="D11" i="38"/>
  <c r="D9" i="38"/>
  <c r="D7" i="38"/>
  <c r="D6" i="38"/>
  <c r="D8" i="38"/>
  <c r="D5" i="38"/>
  <c r="D4" i="38"/>
  <c r="D3" i="38"/>
  <c r="B108" i="11"/>
  <c r="C108" i="11"/>
  <c r="D108" i="11"/>
  <c r="E108" i="11"/>
  <c r="F108" i="11"/>
  <c r="B107" i="11"/>
  <c r="C107" i="11"/>
  <c r="D107" i="11"/>
  <c r="E107" i="11"/>
  <c r="F107" i="11"/>
  <c r="B106" i="11"/>
  <c r="C106" i="11"/>
  <c r="D106" i="11"/>
  <c r="E106" i="11"/>
  <c r="F106" i="11"/>
  <c r="K106" i="11"/>
  <c r="L106" i="11"/>
  <c r="M106" i="11"/>
  <c r="K42" i="11"/>
  <c r="L42" i="11"/>
  <c r="M42" i="11"/>
  <c r="K43" i="11"/>
  <c r="L43" i="11"/>
  <c r="M43" i="11"/>
  <c r="K44" i="11"/>
  <c r="L44" i="11"/>
  <c r="M44" i="11"/>
  <c r="K45" i="11"/>
  <c r="L45" i="11"/>
  <c r="M45" i="11"/>
  <c r="K46" i="11"/>
  <c r="L46" i="11"/>
  <c r="M46" i="11"/>
  <c r="K47" i="11"/>
  <c r="L47" i="11"/>
  <c r="M47" i="11"/>
  <c r="K48" i="11"/>
  <c r="L48" i="11"/>
  <c r="M48" i="11"/>
  <c r="K49" i="11"/>
  <c r="L49" i="11"/>
  <c r="M49" i="11"/>
  <c r="K50" i="11"/>
  <c r="L50" i="11"/>
  <c r="M50" i="11"/>
  <c r="K51" i="11"/>
  <c r="L51" i="11"/>
  <c r="M51" i="11"/>
  <c r="K52" i="11"/>
  <c r="L52" i="11"/>
  <c r="M52" i="11"/>
  <c r="K53" i="11"/>
  <c r="L53" i="11"/>
  <c r="M53" i="11"/>
  <c r="E17" i="12"/>
  <c r="F17" i="12"/>
  <c r="G17" i="12"/>
  <c r="H17" i="12"/>
  <c r="I17" i="12"/>
  <c r="J17" i="12"/>
  <c r="K17" i="12"/>
  <c r="E14" i="12"/>
  <c r="F14" i="12"/>
  <c r="G14" i="12"/>
  <c r="H14" i="12"/>
  <c r="I14" i="12"/>
  <c r="J14" i="12"/>
  <c r="K14" i="12"/>
  <c r="E15" i="12"/>
  <c r="F15" i="12"/>
  <c r="G15" i="12"/>
  <c r="H15" i="12"/>
  <c r="I15" i="12"/>
  <c r="I13" i="12" s="1"/>
  <c r="I22" i="12" s="1"/>
  <c r="J15" i="12"/>
  <c r="J13" i="12" s="1"/>
  <c r="J22" i="12" s="1"/>
  <c r="K15" i="12"/>
  <c r="K13" i="12" s="1"/>
  <c r="K22" i="12" s="1"/>
  <c r="H16" i="12"/>
  <c r="E11" i="12"/>
  <c r="F11" i="12"/>
  <c r="G11" i="12"/>
  <c r="H11" i="12"/>
  <c r="I11" i="12"/>
  <c r="J11" i="12"/>
  <c r="K11" i="12"/>
  <c r="I8" i="12"/>
  <c r="J8" i="12"/>
  <c r="K8" i="12"/>
  <c r="I5" i="14"/>
  <c r="J5" i="14"/>
  <c r="K5" i="14"/>
  <c r="N52" i="45" l="1"/>
  <c r="N10" i="45"/>
  <c r="N30" i="45"/>
  <c r="O57" i="48"/>
  <c r="O58" i="48"/>
  <c r="S35" i="48"/>
  <c r="S36" i="48"/>
  <c r="C57" i="48"/>
  <c r="E57" i="48" s="1"/>
  <c r="W37" i="48"/>
  <c r="X37" i="48" s="1"/>
  <c r="W38" i="48"/>
  <c r="X38" i="48" s="1"/>
  <c r="C58" i="48"/>
  <c r="E58" i="48" s="1"/>
  <c r="D52" i="45"/>
  <c r="F92" i="45"/>
  <c r="G92" i="45" s="1"/>
  <c r="L92" i="45"/>
  <c r="M92" i="45" s="1"/>
  <c r="I92" i="45"/>
  <c r="J92" i="45" s="1"/>
  <c r="F32" i="45"/>
  <c r="G32" i="45" s="1"/>
  <c r="I32" i="45"/>
  <c r="J32" i="45" s="1"/>
  <c r="L32" i="45"/>
  <c r="M32" i="45" s="1"/>
  <c r="F72" i="45"/>
  <c r="G72" i="45" s="1"/>
  <c r="I72" i="45"/>
  <c r="J72" i="45" s="1"/>
  <c r="L72" i="45"/>
  <c r="M72" i="45" s="1"/>
  <c r="I112" i="45"/>
  <c r="J112" i="45" s="1"/>
  <c r="L112" i="45"/>
  <c r="M112" i="45" s="1"/>
  <c r="F112" i="45"/>
  <c r="G112" i="45" s="1"/>
  <c r="C18" i="7"/>
  <c r="K18" i="7" s="1"/>
  <c r="D30" i="45"/>
  <c r="I17" i="45"/>
  <c r="J17" i="45" s="1"/>
  <c r="L17" i="45"/>
  <c r="M17" i="45" s="1"/>
  <c r="I12" i="45"/>
  <c r="J12" i="45" s="1"/>
  <c r="L12" i="45"/>
  <c r="M12" i="45" s="1"/>
  <c r="L15" i="45"/>
  <c r="M15" i="45" s="1"/>
  <c r="I15" i="45"/>
  <c r="J15" i="45" s="1"/>
  <c r="L11" i="45"/>
  <c r="M11" i="45" s="1"/>
  <c r="I11" i="45"/>
  <c r="J11" i="45" s="1"/>
  <c r="D10" i="45"/>
  <c r="I13" i="45"/>
  <c r="J13" i="45" s="1"/>
  <c r="L13" i="45"/>
  <c r="M13" i="45" s="1"/>
  <c r="I16" i="45"/>
  <c r="J16" i="45" s="1"/>
  <c r="L16" i="45"/>
  <c r="M16" i="45" s="1"/>
  <c r="C23" i="41"/>
  <c r="C13" i="41"/>
  <c r="C10" i="41"/>
  <c r="C7" i="41"/>
  <c r="C23" i="29"/>
  <c r="B95" i="37"/>
  <c r="C5" i="37"/>
  <c r="E13" i="35"/>
  <c r="D13" i="35"/>
  <c r="A9" i="35"/>
  <c r="A10" i="35" s="1"/>
  <c r="A11" i="35" s="1"/>
  <c r="A12" i="35" s="1"/>
  <c r="N16" i="45" l="1"/>
  <c r="N13" i="45"/>
  <c r="N11" i="45"/>
  <c r="N15" i="45"/>
  <c r="N112" i="45"/>
  <c r="N92" i="45"/>
  <c r="N72" i="45"/>
  <c r="N32" i="45"/>
  <c r="N12" i="45"/>
  <c r="N17" i="45"/>
  <c r="B56" i="48"/>
  <c r="O56" i="48" s="1"/>
  <c r="T36" i="48"/>
  <c r="B55" i="48"/>
  <c r="O55" i="48" s="1"/>
  <c r="T35" i="48"/>
  <c r="F32" i="48"/>
  <c r="AA32" i="48" s="1"/>
  <c r="P36" i="48"/>
  <c r="G32" i="48" s="1"/>
  <c r="P35" i="48"/>
  <c r="F34" i="48"/>
  <c r="O43" i="48"/>
  <c r="D92" i="45"/>
  <c r="D112" i="45"/>
  <c r="D72" i="45"/>
  <c r="D32" i="45"/>
  <c r="F50" i="45"/>
  <c r="G50" i="45" s="1"/>
  <c r="I50" i="45"/>
  <c r="J50" i="45" s="1"/>
  <c r="L50" i="45"/>
  <c r="M50" i="45" s="1"/>
  <c r="C13" i="35"/>
  <c r="D14" i="12"/>
  <c r="D17" i="30"/>
  <c r="D16" i="30"/>
  <c r="D39" i="30" s="1"/>
  <c r="D15" i="14"/>
  <c r="D15" i="45"/>
  <c r="D12" i="45"/>
  <c r="I14" i="45"/>
  <c r="J14" i="45" s="1"/>
  <c r="L14" i="45"/>
  <c r="M14" i="45" s="1"/>
  <c r="D16" i="45"/>
  <c r="D13" i="45"/>
  <c r="D11" i="45"/>
  <c r="D17" i="45"/>
  <c r="D15" i="30"/>
  <c r="D15" i="12" s="1"/>
  <c r="E5" i="37"/>
  <c r="F5" i="37"/>
  <c r="N14" i="45" l="1"/>
  <c r="V32" i="48"/>
  <c r="B31" i="45" s="1"/>
  <c r="N50" i="45"/>
  <c r="S34" i="48"/>
  <c r="T34" i="48" s="1"/>
  <c r="AA34" i="48"/>
  <c r="B54" i="48"/>
  <c r="C55" i="48"/>
  <c r="E55" i="48" s="1"/>
  <c r="W35" i="48"/>
  <c r="X35" i="48" s="1"/>
  <c r="W36" i="48"/>
  <c r="X36" i="48" s="1"/>
  <c r="C56" i="48"/>
  <c r="E56" i="48" s="1"/>
  <c r="G34" i="48"/>
  <c r="G43" i="48" s="1"/>
  <c r="P43" i="48"/>
  <c r="F43" i="48"/>
  <c r="S32" i="48"/>
  <c r="C6" i="28" s="1"/>
  <c r="D17" i="12"/>
  <c r="I20" i="45"/>
  <c r="J20" i="45" s="1"/>
  <c r="L20" i="45"/>
  <c r="M20" i="45" s="1"/>
  <c r="D50" i="45"/>
  <c r="D5" i="14"/>
  <c r="D31" i="30"/>
  <c r="D11" i="12" s="1"/>
  <c r="D14" i="45"/>
  <c r="C6" i="37"/>
  <c r="F6" i="37" s="1"/>
  <c r="G5" i="37"/>
  <c r="E40" i="37"/>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 r="E11" i="37"/>
  <c r="E10" i="37"/>
  <c r="E9" i="37"/>
  <c r="E8" i="37"/>
  <c r="E7" i="37"/>
  <c r="E6" i="37"/>
  <c r="V34" i="48" l="1"/>
  <c r="Y43" i="48"/>
  <c r="N20" i="45"/>
  <c r="O54" i="48"/>
  <c r="C54" i="48"/>
  <c r="E54" i="48" s="1"/>
  <c r="W34" i="48"/>
  <c r="X34" i="48" s="1"/>
  <c r="B52" i="48"/>
  <c r="T32" i="48"/>
  <c r="S43" i="48"/>
  <c r="C5" i="28" s="1"/>
  <c r="D13" i="30"/>
  <c r="I21" i="45"/>
  <c r="J21" i="45" s="1"/>
  <c r="L21" i="45"/>
  <c r="M21" i="45" s="1"/>
  <c r="F34" i="45"/>
  <c r="G34" i="45" s="1"/>
  <c r="L34" i="45"/>
  <c r="M34" i="45" s="1"/>
  <c r="I34" i="45"/>
  <c r="J34" i="45" s="1"/>
  <c r="C14" i="28"/>
  <c r="C16" i="28" s="1"/>
  <c r="D20" i="45"/>
  <c r="I70" i="45"/>
  <c r="J70" i="45" s="1"/>
  <c r="L70" i="45"/>
  <c r="M70" i="45" s="1"/>
  <c r="F70" i="45"/>
  <c r="G70" i="45" s="1"/>
  <c r="F29" i="45"/>
  <c r="G29" i="45" s="1"/>
  <c r="I29" i="45"/>
  <c r="J29" i="45" s="1"/>
  <c r="L29" i="45"/>
  <c r="M29" i="45" s="1"/>
  <c r="D7" i="5"/>
  <c r="B3" i="40" s="1"/>
  <c r="G6" i="37"/>
  <c r="C7" i="37"/>
  <c r="C8" i="37" s="1"/>
  <c r="E43" i="37"/>
  <c r="E96" i="37"/>
  <c r="B33" i="45" l="1"/>
  <c r="V43" i="48"/>
  <c r="E18" i="29" s="1"/>
  <c r="AA51" i="48"/>
  <c r="N70" i="45"/>
  <c r="N34" i="45"/>
  <c r="N29" i="45"/>
  <c r="N21" i="45"/>
  <c r="C52" i="48"/>
  <c r="C63" i="48" s="1"/>
  <c r="T43" i="48"/>
  <c r="W43" i="48"/>
  <c r="E52" i="48"/>
  <c r="E63" i="48" s="1"/>
  <c r="B63" i="48"/>
  <c r="D21" i="45"/>
  <c r="I19" i="45"/>
  <c r="J19" i="45" s="1"/>
  <c r="L19" i="45"/>
  <c r="M19" i="45" s="1"/>
  <c r="I53" i="45"/>
  <c r="J53" i="45" s="1"/>
  <c r="L53" i="45"/>
  <c r="M53" i="45" s="1"/>
  <c r="F53" i="45"/>
  <c r="G53" i="45" s="1"/>
  <c r="E13" i="30"/>
  <c r="D34" i="45"/>
  <c r="I35" i="45"/>
  <c r="J35" i="45" s="1"/>
  <c r="L35" i="45"/>
  <c r="M35" i="45" s="1"/>
  <c r="F35" i="45"/>
  <c r="G35" i="45" s="1"/>
  <c r="I31" i="45"/>
  <c r="J31" i="45" s="1"/>
  <c r="L31" i="45"/>
  <c r="M31" i="45" s="1"/>
  <c r="F31" i="45"/>
  <c r="G31" i="45" s="1"/>
  <c r="D70" i="45"/>
  <c r="D29" i="45"/>
  <c r="F7" i="37"/>
  <c r="D28" i="30" s="1"/>
  <c r="I18" i="45"/>
  <c r="J18" i="45" s="1"/>
  <c r="L18" i="45"/>
  <c r="M18" i="45" s="1"/>
  <c r="E46" i="37"/>
  <c r="E49" i="37" s="1"/>
  <c r="C9" i="37"/>
  <c r="F8" i="37"/>
  <c r="I33" i="45" l="1"/>
  <c r="J33" i="45" s="1"/>
  <c r="F33" i="45"/>
  <c r="L33" i="45"/>
  <c r="M33" i="45" s="1"/>
  <c r="N31" i="45"/>
  <c r="S51" i="48"/>
  <c r="T51" i="48" s="1"/>
  <c r="C71" i="48" s="1"/>
  <c r="E71" i="48" s="1"/>
  <c r="N53" i="45"/>
  <c r="N35" i="45"/>
  <c r="N18" i="45"/>
  <c r="N19" i="45"/>
  <c r="D7" i="28"/>
  <c r="O62" i="48"/>
  <c r="S62" i="48" s="1"/>
  <c r="B82" i="48" s="1"/>
  <c r="V62" i="48"/>
  <c r="B61" i="45" s="1"/>
  <c r="AA61" i="48"/>
  <c r="S61" i="48"/>
  <c r="B81" i="48" s="1"/>
  <c r="D19" i="45"/>
  <c r="D53" i="45"/>
  <c r="D35" i="45"/>
  <c r="D31" i="45"/>
  <c r="F90" i="45"/>
  <c r="G90" i="45" s="1"/>
  <c r="I90" i="45"/>
  <c r="J90" i="45" s="1"/>
  <c r="L90" i="45"/>
  <c r="M90" i="45" s="1"/>
  <c r="G7" i="37"/>
  <c r="D27" i="30" s="1"/>
  <c r="G8" i="37"/>
  <c r="D18" i="45"/>
  <c r="C10" i="37"/>
  <c r="F9" i="37"/>
  <c r="G9" i="37" s="1"/>
  <c r="E52" i="37"/>
  <c r="E55" i="37" s="1"/>
  <c r="E58" i="37" s="1"/>
  <c r="E61" i="37" s="1"/>
  <c r="G33" i="45" l="1"/>
  <c r="N33" i="45" s="1"/>
  <c r="D33" i="45"/>
  <c r="B71" i="48"/>
  <c r="S71" i="48" s="1"/>
  <c r="N90" i="45"/>
  <c r="AA62" i="48"/>
  <c r="P61" i="48"/>
  <c r="F59" i="48"/>
  <c r="AA59" i="48" s="1"/>
  <c r="Y63" i="48"/>
  <c r="V61" i="48"/>
  <c r="F60" i="48"/>
  <c r="AA60" i="48" s="1"/>
  <c r="P62" i="48"/>
  <c r="D15" i="7"/>
  <c r="L15" i="7" s="1"/>
  <c r="I40" i="45"/>
  <c r="J40" i="45" s="1"/>
  <c r="F40" i="45"/>
  <c r="G40" i="45" s="1"/>
  <c r="L40" i="45"/>
  <c r="M40" i="45" s="1"/>
  <c r="D90" i="45"/>
  <c r="D20" i="12"/>
  <c r="F41" i="45"/>
  <c r="G41" i="45" s="1"/>
  <c r="L41" i="45"/>
  <c r="M41" i="45" s="1"/>
  <c r="I41" i="45"/>
  <c r="J41" i="45" s="1"/>
  <c r="E64" i="37"/>
  <c r="C11" i="37"/>
  <c r="F10" i="37"/>
  <c r="G10" i="37" s="1"/>
  <c r="AA71" i="48" l="1"/>
  <c r="T71" i="48"/>
  <c r="C91" i="48" s="1"/>
  <c r="E91" i="48" s="1"/>
  <c r="B91" i="48"/>
  <c r="AA91" i="48" s="1"/>
  <c r="N40" i="45"/>
  <c r="S91" i="48"/>
  <c r="T91" i="48" s="1"/>
  <c r="C111" i="48" s="1"/>
  <c r="E111" i="48" s="1"/>
  <c r="V63" i="48"/>
  <c r="F18" i="29" s="1"/>
  <c r="B60" i="45"/>
  <c r="W62" i="48"/>
  <c r="X62" i="48" s="1"/>
  <c r="G60" i="48"/>
  <c r="G59" i="48"/>
  <c r="W61" i="48"/>
  <c r="X61" i="48" s="1"/>
  <c r="S60" i="48"/>
  <c r="S59" i="48"/>
  <c r="I73" i="45"/>
  <c r="J73" i="45" s="1"/>
  <c r="F73" i="45"/>
  <c r="G73" i="45" s="1"/>
  <c r="N73" i="45" s="1"/>
  <c r="L73" i="45"/>
  <c r="M73" i="45" s="1"/>
  <c r="D14" i="28"/>
  <c r="D16" i="28" s="1"/>
  <c r="I36" i="45"/>
  <c r="J36" i="45" s="1"/>
  <c r="F36" i="45"/>
  <c r="G36" i="45" s="1"/>
  <c r="L36" i="45"/>
  <c r="M36" i="45" s="1"/>
  <c r="D40" i="45"/>
  <c r="F110" i="45"/>
  <c r="G110" i="45" s="1"/>
  <c r="I110" i="45"/>
  <c r="J110" i="45" s="1"/>
  <c r="L110" i="45"/>
  <c r="M110" i="45" s="1"/>
  <c r="D41" i="45"/>
  <c r="N41" i="45"/>
  <c r="I39" i="45"/>
  <c r="J39" i="45" s="1"/>
  <c r="L39" i="45"/>
  <c r="M39" i="45" s="1"/>
  <c r="F39" i="45"/>
  <c r="G39" i="45" s="1"/>
  <c r="O12" i="45"/>
  <c r="E22" i="29"/>
  <c r="C12" i="37"/>
  <c r="F11" i="37"/>
  <c r="G11" i="37" s="1"/>
  <c r="E67" i="37"/>
  <c r="E70" i="37" s="1"/>
  <c r="E73" i="37" s="1"/>
  <c r="B111" i="48" l="1"/>
  <c r="AA111" i="48" s="1"/>
  <c r="N39" i="45"/>
  <c r="N36" i="45"/>
  <c r="N110" i="45"/>
  <c r="S111" i="48"/>
  <c r="T111" i="48" s="1"/>
  <c r="T59" i="48"/>
  <c r="B79" i="48"/>
  <c r="B80" i="48"/>
  <c r="T60" i="48"/>
  <c r="F57" i="48"/>
  <c r="AA57" i="48" s="1"/>
  <c r="P59" i="48"/>
  <c r="G57" i="48" s="1"/>
  <c r="F58" i="48"/>
  <c r="AA58" i="48" s="1"/>
  <c r="P60" i="48"/>
  <c r="G58" i="48" s="1"/>
  <c r="F13" i="30"/>
  <c r="B42" i="45"/>
  <c r="I37" i="45"/>
  <c r="J37" i="45" s="1"/>
  <c r="F37" i="45"/>
  <c r="G37" i="45" s="1"/>
  <c r="L37" i="45"/>
  <c r="M37" i="45" s="1"/>
  <c r="D73" i="45"/>
  <c r="D36" i="45"/>
  <c r="L38" i="45"/>
  <c r="M38" i="45" s="1"/>
  <c r="F38" i="45"/>
  <c r="G38" i="45" s="1"/>
  <c r="I38" i="45"/>
  <c r="J38" i="45" s="1"/>
  <c r="L51" i="45"/>
  <c r="M51" i="45" s="1"/>
  <c r="F51" i="45"/>
  <c r="G51" i="45" s="1"/>
  <c r="I51" i="45"/>
  <c r="J51" i="45" s="1"/>
  <c r="D110" i="45"/>
  <c r="D39" i="45"/>
  <c r="C13" i="37"/>
  <c r="F12" i="37"/>
  <c r="G12" i="37" s="1"/>
  <c r="E76" i="37"/>
  <c r="E79" i="37" s="1"/>
  <c r="E82" i="37" s="1"/>
  <c r="E85" i="37" s="1"/>
  <c r="N38" i="45" l="1"/>
  <c r="N51" i="45"/>
  <c r="N37" i="45"/>
  <c r="O79" i="48"/>
  <c r="O80" i="48"/>
  <c r="C80" i="48"/>
  <c r="E80" i="48" s="1"/>
  <c r="W60" i="48"/>
  <c r="X60" i="48" s="1"/>
  <c r="C79" i="48"/>
  <c r="E79" i="48" s="1"/>
  <c r="W59" i="48"/>
  <c r="X59" i="48" s="1"/>
  <c r="M42" i="45"/>
  <c r="J42" i="45"/>
  <c r="I42" i="45"/>
  <c r="L42" i="45"/>
  <c r="D37" i="45"/>
  <c r="E14" i="28"/>
  <c r="E16" i="28" s="1"/>
  <c r="D51" i="45"/>
  <c r="D38" i="45"/>
  <c r="F42" i="45"/>
  <c r="E88" i="37"/>
  <c r="E91" i="37" s="1"/>
  <c r="E94" i="37" s="1"/>
  <c r="C14" i="37"/>
  <c r="F13" i="37"/>
  <c r="G13" i="37" s="1"/>
  <c r="C7" i="4" l="1"/>
  <c r="F55" i="48"/>
  <c r="AA55" i="48" s="1"/>
  <c r="P57" i="48"/>
  <c r="G55" i="48" s="1"/>
  <c r="F56" i="48"/>
  <c r="AA56" i="48" s="1"/>
  <c r="P58" i="48"/>
  <c r="G56" i="48" s="1"/>
  <c r="S57" i="48"/>
  <c r="S58" i="48"/>
  <c r="D42" i="45"/>
  <c r="I93" i="45"/>
  <c r="J93" i="45" s="1"/>
  <c r="F60" i="45"/>
  <c r="G60" i="45" s="1"/>
  <c r="L60" i="45"/>
  <c r="M60" i="45" s="1"/>
  <c r="I60" i="45"/>
  <c r="J60" i="45" s="1"/>
  <c r="G42" i="45"/>
  <c r="I71" i="45"/>
  <c r="J71" i="45" s="1"/>
  <c r="F71" i="45"/>
  <c r="G71" i="45" s="1"/>
  <c r="N71" i="45" s="1"/>
  <c r="L71" i="45"/>
  <c r="M71" i="45" s="1"/>
  <c r="F61" i="45"/>
  <c r="G61" i="45" s="1"/>
  <c r="L61" i="45"/>
  <c r="M61" i="45" s="1"/>
  <c r="I61" i="45"/>
  <c r="J61" i="45" s="1"/>
  <c r="E95" i="37"/>
  <c r="C15" i="37"/>
  <c r="F14" i="37"/>
  <c r="G14" i="37" s="1"/>
  <c r="N61" i="45" l="1"/>
  <c r="N60" i="45"/>
  <c r="B78" i="48"/>
  <c r="T58" i="48"/>
  <c r="T57" i="48"/>
  <c r="B77" i="48"/>
  <c r="S56" i="48"/>
  <c r="S55" i="48"/>
  <c r="L93" i="45"/>
  <c r="M93" i="45" s="1"/>
  <c r="F93" i="45"/>
  <c r="G93" i="45" s="1"/>
  <c r="D71" i="45"/>
  <c r="I58" i="45"/>
  <c r="J58" i="45" s="1"/>
  <c r="L58" i="45"/>
  <c r="M58" i="45" s="1"/>
  <c r="F58" i="45"/>
  <c r="G58" i="45" s="1"/>
  <c r="F56" i="45"/>
  <c r="G56" i="45" s="1"/>
  <c r="I56" i="45"/>
  <c r="J56" i="45" s="1"/>
  <c r="L56" i="45"/>
  <c r="M56" i="45" s="1"/>
  <c r="I54" i="45"/>
  <c r="J54" i="45" s="1"/>
  <c r="L54" i="45"/>
  <c r="M54" i="45" s="1"/>
  <c r="F54" i="45"/>
  <c r="G54" i="45" s="1"/>
  <c r="N42" i="45"/>
  <c r="C6" i="4" s="1"/>
  <c r="O32" i="45"/>
  <c r="D21" i="7" s="1"/>
  <c r="L21" i="7" s="1"/>
  <c r="G13" i="30"/>
  <c r="D60" i="45"/>
  <c r="D61" i="45"/>
  <c r="I57" i="45"/>
  <c r="J57" i="45" s="1"/>
  <c r="L57" i="45"/>
  <c r="M57" i="45" s="1"/>
  <c r="F57" i="45"/>
  <c r="G57" i="45" s="1"/>
  <c r="F59" i="45"/>
  <c r="G59" i="45" s="1"/>
  <c r="I59" i="45"/>
  <c r="J59" i="45" s="1"/>
  <c r="L59" i="45"/>
  <c r="M59" i="45" s="1"/>
  <c r="P7" i="5"/>
  <c r="C16" i="37"/>
  <c r="F15" i="37"/>
  <c r="G15" i="37" s="1"/>
  <c r="N58" i="45" l="1"/>
  <c r="N93" i="45"/>
  <c r="N59" i="45"/>
  <c r="N57" i="45"/>
  <c r="N56" i="45"/>
  <c r="N54" i="45"/>
  <c r="O77" i="48"/>
  <c r="O78" i="48"/>
  <c r="T55" i="48"/>
  <c r="B75" i="48"/>
  <c r="B76" i="48"/>
  <c r="T56" i="48"/>
  <c r="C78" i="48"/>
  <c r="E78" i="48" s="1"/>
  <c r="W58" i="48"/>
  <c r="X58" i="48" s="1"/>
  <c r="P55" i="48"/>
  <c r="F54" i="48"/>
  <c r="O63" i="48"/>
  <c r="F52" i="48"/>
  <c r="AA52" i="48" s="1"/>
  <c r="P56" i="48"/>
  <c r="G52" i="48" s="1"/>
  <c r="C77" i="48"/>
  <c r="E77" i="48" s="1"/>
  <c r="W57" i="48"/>
  <c r="X57" i="48" s="1"/>
  <c r="D93" i="45"/>
  <c r="F55" i="45"/>
  <c r="G55" i="45" s="1"/>
  <c r="L55" i="45"/>
  <c r="M55" i="45" s="1"/>
  <c r="I55" i="45"/>
  <c r="J55" i="45" s="1"/>
  <c r="E21" i="30"/>
  <c r="O42" i="45"/>
  <c r="D54" i="45"/>
  <c r="D56" i="45"/>
  <c r="D58" i="45"/>
  <c r="D59" i="45"/>
  <c r="D57" i="45"/>
  <c r="C17" i="37"/>
  <c r="F16" i="37"/>
  <c r="D21" i="12" s="1"/>
  <c r="N55" i="45" l="1"/>
  <c r="S54" i="48"/>
  <c r="T54" i="48" s="1"/>
  <c r="AA54" i="48"/>
  <c r="O76" i="48"/>
  <c r="O75" i="48"/>
  <c r="P75" i="48" s="1"/>
  <c r="G54" i="48"/>
  <c r="G63" i="48" s="1"/>
  <c r="P63" i="48"/>
  <c r="C76" i="48"/>
  <c r="E76" i="48" s="1"/>
  <c r="W56" i="48"/>
  <c r="X56" i="48" s="1"/>
  <c r="F63" i="48"/>
  <c r="S52" i="48"/>
  <c r="D6" i="28" s="1"/>
  <c r="B74" i="48"/>
  <c r="O74" i="48" s="1"/>
  <c r="C75" i="48"/>
  <c r="E75" i="48" s="1"/>
  <c r="W55" i="48"/>
  <c r="X55" i="48" s="1"/>
  <c r="D55" i="45"/>
  <c r="M32" i="7"/>
  <c r="M27" i="7"/>
  <c r="G16" i="37"/>
  <c r="C18" i="37"/>
  <c r="F17" i="37"/>
  <c r="W54" i="48" l="1"/>
  <c r="X54" i="48" s="1"/>
  <c r="C74" i="48"/>
  <c r="E74" i="48" s="1"/>
  <c r="T52" i="48"/>
  <c r="B72" i="48"/>
  <c r="S63" i="48"/>
  <c r="D5" i="28" s="1"/>
  <c r="I78" i="45"/>
  <c r="J78" i="45" s="1"/>
  <c r="L78" i="45"/>
  <c r="M78" i="45" s="1"/>
  <c r="F78" i="45"/>
  <c r="G78" i="45" s="1"/>
  <c r="I79" i="45"/>
  <c r="J79" i="45" s="1"/>
  <c r="F79" i="45"/>
  <c r="G79" i="45" s="1"/>
  <c r="L79" i="45"/>
  <c r="M79" i="45" s="1"/>
  <c r="G17" i="37"/>
  <c r="C19" i="37"/>
  <c r="F18" i="37"/>
  <c r="G18" i="37" s="1"/>
  <c r="N79" i="45" l="1"/>
  <c r="N78" i="45"/>
  <c r="S70" i="48"/>
  <c r="T70" i="48" s="1"/>
  <c r="C90" i="48" s="1"/>
  <c r="AA70" i="48"/>
  <c r="E72" i="48"/>
  <c r="E83" i="48" s="1"/>
  <c r="B83" i="48"/>
  <c r="C72" i="48"/>
  <c r="C83" i="48" s="1"/>
  <c r="T63" i="48"/>
  <c r="W63" i="48"/>
  <c r="O52" i="45"/>
  <c r="E21" i="7" s="1"/>
  <c r="M21" i="7" s="1"/>
  <c r="I74" i="45"/>
  <c r="J74" i="45" s="1"/>
  <c r="L74" i="45"/>
  <c r="M74" i="45" s="1"/>
  <c r="F74" i="45"/>
  <c r="G74" i="45" s="1"/>
  <c r="F76" i="45"/>
  <c r="G76" i="45" s="1"/>
  <c r="I76" i="45"/>
  <c r="J76" i="45" s="1"/>
  <c r="L76" i="45"/>
  <c r="M76" i="45" s="1"/>
  <c r="D78" i="45"/>
  <c r="F69" i="45"/>
  <c r="G69" i="45" s="1"/>
  <c r="I69" i="45"/>
  <c r="J69" i="45" s="1"/>
  <c r="L69" i="45"/>
  <c r="M69" i="45" s="1"/>
  <c r="F77" i="45"/>
  <c r="G77" i="45" s="1"/>
  <c r="L77" i="45"/>
  <c r="M77" i="45" s="1"/>
  <c r="I77" i="45"/>
  <c r="J77" i="45" s="1"/>
  <c r="D79" i="45"/>
  <c r="I75" i="45"/>
  <c r="J75" i="45" s="1"/>
  <c r="F75" i="45"/>
  <c r="G75" i="45" s="1"/>
  <c r="L75" i="45"/>
  <c r="M75" i="45" s="1"/>
  <c r="V7" i="5"/>
  <c r="V6" i="5"/>
  <c r="C20" i="37"/>
  <c r="F19" i="37"/>
  <c r="E28" i="30" s="1"/>
  <c r="B90" i="48" l="1"/>
  <c r="AA90" i="48" s="1"/>
  <c r="N76" i="45"/>
  <c r="N74" i="45"/>
  <c r="N77" i="45"/>
  <c r="N75" i="45"/>
  <c r="N69" i="45"/>
  <c r="V82" i="48"/>
  <c r="B81" i="45" s="1"/>
  <c r="D76" i="45"/>
  <c r="D74" i="45"/>
  <c r="D69" i="45"/>
  <c r="D75" i="45"/>
  <c r="D77" i="45"/>
  <c r="G19" i="37"/>
  <c r="E27" i="30" s="1"/>
  <c r="C21" i="37"/>
  <c r="F20" i="37"/>
  <c r="S90" i="48" l="1"/>
  <c r="B110" i="48" s="1"/>
  <c r="AA110" i="48" s="1"/>
  <c r="E90" i="48"/>
  <c r="I81" i="45"/>
  <c r="J81" i="45" s="1"/>
  <c r="F81" i="45"/>
  <c r="G81" i="45" s="1"/>
  <c r="L81" i="45"/>
  <c r="M81" i="45" s="1"/>
  <c r="Y83" i="48"/>
  <c r="V81" i="48"/>
  <c r="F15" i="7"/>
  <c r="N15" i="7" s="1"/>
  <c r="F94" i="45"/>
  <c r="G94" i="45" s="1"/>
  <c r="L94" i="45"/>
  <c r="M94" i="45" s="1"/>
  <c r="I94" i="45"/>
  <c r="J94" i="45" s="1"/>
  <c r="F98" i="45"/>
  <c r="G98" i="45" s="1"/>
  <c r="L98" i="45"/>
  <c r="M98" i="45" s="1"/>
  <c r="I98" i="45"/>
  <c r="J98" i="45" s="1"/>
  <c r="E20" i="12"/>
  <c r="F25" i="7"/>
  <c r="N25" i="7" s="1"/>
  <c r="F19" i="7"/>
  <c r="N19" i="7" s="1"/>
  <c r="F14" i="28"/>
  <c r="G20" i="37"/>
  <c r="C22" i="37"/>
  <c r="F21" i="37"/>
  <c r="G21" i="37" s="1"/>
  <c r="T90" i="48" l="1"/>
  <c r="C110" i="48" s="1"/>
  <c r="N94" i="45"/>
  <c r="N98" i="45"/>
  <c r="N81" i="45"/>
  <c r="E110" i="48"/>
  <c r="S110" i="48"/>
  <c r="T110" i="48" s="1"/>
  <c r="D81" i="45"/>
  <c r="V83" i="48"/>
  <c r="G18" i="29" s="1"/>
  <c r="G22" i="29" s="1"/>
  <c r="B80" i="45"/>
  <c r="I96" i="45"/>
  <c r="J96" i="45" s="1"/>
  <c r="F96" i="45"/>
  <c r="G96" i="45" s="1"/>
  <c r="L96" i="45"/>
  <c r="M96" i="45" s="1"/>
  <c r="D98" i="45"/>
  <c r="D94" i="45"/>
  <c r="H13" i="30"/>
  <c r="F97" i="45"/>
  <c r="G97" i="45" s="1"/>
  <c r="I97" i="45"/>
  <c r="J97" i="45" s="1"/>
  <c r="L97" i="45"/>
  <c r="M97" i="45" s="1"/>
  <c r="F16" i="28"/>
  <c r="C23" i="37"/>
  <c r="F22" i="37"/>
  <c r="G22" i="37" s="1"/>
  <c r="N97" i="45" l="1"/>
  <c r="N96" i="45"/>
  <c r="L80" i="45"/>
  <c r="M80" i="45" s="1"/>
  <c r="F80" i="45"/>
  <c r="G80" i="45" s="1"/>
  <c r="I80" i="45"/>
  <c r="J80" i="45" s="1"/>
  <c r="B82" i="45"/>
  <c r="P80" i="48"/>
  <c r="G78" i="48" s="1"/>
  <c r="F78" i="48"/>
  <c r="AA78" i="48" s="1"/>
  <c r="P79" i="48"/>
  <c r="G77" i="48" s="1"/>
  <c r="F77" i="48"/>
  <c r="AA77" i="48" s="1"/>
  <c r="D96" i="45"/>
  <c r="F118" i="45"/>
  <c r="G118" i="45" s="1"/>
  <c r="I118" i="45"/>
  <c r="J118" i="45" s="1"/>
  <c r="L118" i="45"/>
  <c r="M118" i="45" s="1"/>
  <c r="I89" i="45"/>
  <c r="J89" i="45" s="1"/>
  <c r="L89" i="45"/>
  <c r="M89" i="45" s="1"/>
  <c r="F89" i="45"/>
  <c r="G89" i="45" s="1"/>
  <c r="I91" i="45"/>
  <c r="J91" i="45" s="1"/>
  <c r="L91" i="45"/>
  <c r="M91" i="45" s="1"/>
  <c r="F91" i="45"/>
  <c r="G91" i="45" s="1"/>
  <c r="D97" i="45"/>
  <c r="I95" i="45"/>
  <c r="J95" i="45" s="1"/>
  <c r="L95" i="45"/>
  <c r="M95" i="45" s="1"/>
  <c r="F95" i="45"/>
  <c r="G95" i="45" s="1"/>
  <c r="AB6" i="5"/>
  <c r="C24" i="37"/>
  <c r="F23" i="37"/>
  <c r="G23" i="37" s="1"/>
  <c r="N91" i="45" l="1"/>
  <c r="N118" i="45"/>
  <c r="N95" i="45"/>
  <c r="N89" i="45"/>
  <c r="N80" i="45"/>
  <c r="D80" i="45"/>
  <c r="D82" i="45" s="1"/>
  <c r="F82" i="45"/>
  <c r="J82" i="45"/>
  <c r="I82" i="45"/>
  <c r="M82" i="45"/>
  <c r="L82" i="45"/>
  <c r="S77" i="48"/>
  <c r="S78" i="48"/>
  <c r="D118" i="45"/>
  <c r="I116" i="45"/>
  <c r="J116" i="45" s="1"/>
  <c r="L116" i="45"/>
  <c r="M116" i="45" s="1"/>
  <c r="F116" i="45"/>
  <c r="G116" i="45" s="1"/>
  <c r="D89" i="45"/>
  <c r="D95" i="45"/>
  <c r="D91" i="45"/>
  <c r="C25" i="37"/>
  <c r="F24" i="37"/>
  <c r="G24" i="37" s="1"/>
  <c r="N116" i="45" l="1"/>
  <c r="E7" i="4"/>
  <c r="G82" i="45"/>
  <c r="T78" i="48"/>
  <c r="B98" i="48"/>
  <c r="T77" i="48"/>
  <c r="B97" i="48"/>
  <c r="P78" i="48"/>
  <c r="G76" i="48" s="1"/>
  <c r="F76" i="48"/>
  <c r="AA76" i="48" s="1"/>
  <c r="P77" i="48"/>
  <c r="G75" i="48" s="1"/>
  <c r="F75" i="48"/>
  <c r="AA75" i="48" s="1"/>
  <c r="G15" i="7"/>
  <c r="O15" i="7" s="1"/>
  <c r="D116" i="45"/>
  <c r="F109" i="45"/>
  <c r="G109" i="45" s="1"/>
  <c r="I109" i="45"/>
  <c r="J109" i="45" s="1"/>
  <c r="L109" i="45"/>
  <c r="M109" i="45" s="1"/>
  <c r="I99" i="45"/>
  <c r="J99" i="45" s="1"/>
  <c r="L99" i="45"/>
  <c r="M99" i="45" s="1"/>
  <c r="F99" i="45"/>
  <c r="G99" i="45" s="1"/>
  <c r="AB7" i="5"/>
  <c r="G14" i="28"/>
  <c r="C26" i="37"/>
  <c r="F25" i="37"/>
  <c r="G25" i="37" s="1"/>
  <c r="N109" i="45" l="1"/>
  <c r="N99" i="45"/>
  <c r="O72" i="45"/>
  <c r="F21" i="7" s="1"/>
  <c r="N21" i="7" s="1"/>
  <c r="N82" i="45"/>
  <c r="S75" i="48"/>
  <c r="S76" i="48"/>
  <c r="C97" i="48"/>
  <c r="E97" i="48" s="1"/>
  <c r="W77" i="48"/>
  <c r="X77" i="48" s="1"/>
  <c r="C98" i="48"/>
  <c r="E98" i="48" s="1"/>
  <c r="W78" i="48"/>
  <c r="X78" i="48" s="1"/>
  <c r="I114" i="45"/>
  <c r="J114" i="45" s="1"/>
  <c r="L114" i="45"/>
  <c r="M114" i="45" s="1"/>
  <c r="F114" i="45"/>
  <c r="G114" i="45" s="1"/>
  <c r="N114" i="45" s="1"/>
  <c r="F113" i="45"/>
  <c r="G113" i="45" s="1"/>
  <c r="L113" i="45"/>
  <c r="M113" i="45" s="1"/>
  <c r="D109" i="45"/>
  <c r="I13" i="30"/>
  <c r="G16" i="28"/>
  <c r="I115" i="45"/>
  <c r="J115" i="45" s="1"/>
  <c r="F115" i="45"/>
  <c r="G115" i="45" s="1"/>
  <c r="L115" i="45"/>
  <c r="M115" i="45" s="1"/>
  <c r="D99" i="45"/>
  <c r="D20" i="5"/>
  <c r="C27" i="37"/>
  <c r="F26" i="37"/>
  <c r="G26" i="37" s="1"/>
  <c r="N113" i="45" l="1"/>
  <c r="N115" i="45"/>
  <c r="E6" i="4"/>
  <c r="G21" i="30"/>
  <c r="O82" i="45"/>
  <c r="T76" i="48"/>
  <c r="B96" i="48"/>
  <c r="O96" i="48" s="1"/>
  <c r="T75" i="48"/>
  <c r="B95" i="48"/>
  <c r="O95" i="48" s="1"/>
  <c r="P76" i="48"/>
  <c r="G72" i="48" s="1"/>
  <c r="F72" i="48"/>
  <c r="AA72" i="48" s="1"/>
  <c r="F74" i="48"/>
  <c r="D113" i="45"/>
  <c r="D114" i="45"/>
  <c r="D115" i="45"/>
  <c r="I111" i="45"/>
  <c r="J111" i="45" s="1"/>
  <c r="F111" i="45"/>
  <c r="G111" i="45" s="1"/>
  <c r="L111" i="45"/>
  <c r="M111" i="45" s="1"/>
  <c r="G25" i="7"/>
  <c r="O25" i="7" s="1"/>
  <c r="G19" i="7"/>
  <c r="O19" i="7" s="1"/>
  <c r="C28" i="37"/>
  <c r="F27" i="37"/>
  <c r="G27" i="37" s="1"/>
  <c r="N111" i="45" l="1"/>
  <c r="H15" i="7" s="1"/>
  <c r="P15" i="7" s="1"/>
  <c r="S74" i="48"/>
  <c r="T74" i="48" s="1"/>
  <c r="AA74" i="48"/>
  <c r="B94" i="48"/>
  <c r="O94" i="48" s="1"/>
  <c r="S72" i="48"/>
  <c r="E6" i="28" s="1"/>
  <c r="E4" i="48" s="1"/>
  <c r="G74" i="48"/>
  <c r="C95" i="48"/>
  <c r="E95" i="48" s="1"/>
  <c r="W75" i="48"/>
  <c r="X75" i="48" s="1"/>
  <c r="C96" i="48"/>
  <c r="E96" i="48" s="1"/>
  <c r="W76" i="48"/>
  <c r="X76" i="48" s="1"/>
  <c r="J13" i="30"/>
  <c r="D111" i="45"/>
  <c r="C29" i="37"/>
  <c r="F28" i="37"/>
  <c r="E21" i="12" s="1"/>
  <c r="F82" i="48" l="1"/>
  <c r="F81" i="48"/>
  <c r="B92" i="48"/>
  <c r="T72" i="48"/>
  <c r="W74" i="48"/>
  <c r="X74" i="48" s="1"/>
  <c r="C94" i="48"/>
  <c r="E94" i="48" s="1"/>
  <c r="L117" i="45"/>
  <c r="M117" i="45" s="1"/>
  <c r="F117" i="45"/>
  <c r="G117" i="45" s="1"/>
  <c r="I117" i="45"/>
  <c r="J117" i="45" s="1"/>
  <c r="D21" i="5"/>
  <c r="G28" i="37"/>
  <c r="C30" i="37"/>
  <c r="F29" i="37"/>
  <c r="O81" i="48" l="1"/>
  <c r="E7" i="28"/>
  <c r="G81" i="48"/>
  <c r="G82" i="48"/>
  <c r="O82" i="48"/>
  <c r="AA82" i="48"/>
  <c r="N117" i="45"/>
  <c r="C92" i="48"/>
  <c r="E92" i="48"/>
  <c r="D117" i="45"/>
  <c r="J20" i="5"/>
  <c r="G29" i="37"/>
  <c r="C31" i="37"/>
  <c r="F30" i="37"/>
  <c r="G30" i="37" s="1"/>
  <c r="S81" i="48" l="1"/>
  <c r="B101" i="48" s="1"/>
  <c r="P81" i="48"/>
  <c r="F79" i="48"/>
  <c r="O83" i="48"/>
  <c r="S82" i="48"/>
  <c r="B102" i="48" s="1"/>
  <c r="P82" i="48"/>
  <c r="F80" i="48"/>
  <c r="AA81" i="48"/>
  <c r="V102" i="48"/>
  <c r="B101" i="45" s="1"/>
  <c r="I15" i="7"/>
  <c r="Q15" i="7" s="1"/>
  <c r="F119" i="45"/>
  <c r="G119" i="45" s="1"/>
  <c r="I119" i="45"/>
  <c r="J119" i="45" s="1"/>
  <c r="L119" i="45"/>
  <c r="M119" i="45" s="1"/>
  <c r="H19" i="7"/>
  <c r="P19" i="7" s="1"/>
  <c r="C32" i="37"/>
  <c r="F31" i="37"/>
  <c r="F28" i="30" s="1"/>
  <c r="AA80" i="48" l="1"/>
  <c r="S80" i="48"/>
  <c r="AA79" i="48"/>
  <c r="S79" i="48"/>
  <c r="F83" i="48"/>
  <c r="W82" i="48"/>
  <c r="X82" i="48" s="1"/>
  <c r="G80" i="48"/>
  <c r="W81" i="48"/>
  <c r="X81" i="48" s="1"/>
  <c r="G79" i="48"/>
  <c r="G83" i="48" s="1"/>
  <c r="P83" i="48"/>
  <c r="N119" i="45"/>
  <c r="L101" i="45"/>
  <c r="M101" i="45" s="1"/>
  <c r="F101" i="45"/>
  <c r="I101" i="45"/>
  <c r="J101" i="45" s="1"/>
  <c r="Y103" i="48"/>
  <c r="V101" i="48"/>
  <c r="H25" i="7"/>
  <c r="P25" i="7" s="1"/>
  <c r="D119" i="45"/>
  <c r="G31" i="37"/>
  <c r="F27" i="30" s="1"/>
  <c r="C33" i="37"/>
  <c r="F32" i="37"/>
  <c r="B99" i="48" l="1"/>
  <c r="B103" i="48" s="1"/>
  <c r="T79" i="48"/>
  <c r="S83" i="48"/>
  <c r="E5" i="28" s="1"/>
  <c r="B100" i="48"/>
  <c r="T80" i="48"/>
  <c r="V103" i="48"/>
  <c r="H18" i="29" s="1"/>
  <c r="H22" i="29" s="1"/>
  <c r="B100" i="45"/>
  <c r="G101" i="45"/>
  <c r="N101" i="45" s="1"/>
  <c r="D101" i="45"/>
  <c r="F20" i="12"/>
  <c r="G32" i="37"/>
  <c r="C34" i="37"/>
  <c r="F33" i="37"/>
  <c r="G33" i="37" s="1"/>
  <c r="C100" i="48" l="1"/>
  <c r="E100" i="48" s="1"/>
  <c r="W80" i="48"/>
  <c r="X80" i="48" s="1"/>
  <c r="C99" i="48"/>
  <c r="W79" i="48"/>
  <c r="T83" i="48"/>
  <c r="F100" i="45"/>
  <c r="G100" i="45" s="1"/>
  <c r="I100" i="45"/>
  <c r="J100" i="45" s="1"/>
  <c r="L100" i="45"/>
  <c r="M100" i="45" s="1"/>
  <c r="B102" i="45"/>
  <c r="J21" i="5"/>
  <c r="C35" i="37"/>
  <c r="F34" i="37"/>
  <c r="G34" i="37" s="1"/>
  <c r="E99" i="48" l="1"/>
  <c r="E103" i="48" s="1"/>
  <c r="C103" i="48"/>
  <c r="X79" i="48"/>
  <c r="W83" i="48"/>
  <c r="N100" i="45"/>
  <c r="M102" i="45"/>
  <c r="L102" i="45"/>
  <c r="D100" i="45"/>
  <c r="D102" i="45" s="1"/>
  <c r="F102" i="45"/>
  <c r="J102" i="45"/>
  <c r="I102" i="45"/>
  <c r="I19" i="7"/>
  <c r="Q19" i="7" s="1"/>
  <c r="Q27" i="7"/>
  <c r="Q29" i="7"/>
  <c r="Q31" i="7"/>
  <c r="Q33" i="7"/>
  <c r="Q35" i="7"/>
  <c r="Q37" i="7"/>
  <c r="Q39" i="7"/>
  <c r="Q41" i="7"/>
  <c r="Q43" i="7"/>
  <c r="Q45" i="7"/>
  <c r="Q47" i="7"/>
  <c r="Q49" i="7"/>
  <c r="Q51" i="7"/>
  <c r="Q53" i="7"/>
  <c r="Q55" i="7"/>
  <c r="Q57" i="7"/>
  <c r="Q59" i="7"/>
  <c r="Q61" i="7"/>
  <c r="Q63" i="7"/>
  <c r="Q65" i="7"/>
  <c r="Q67" i="7"/>
  <c r="Q69" i="7"/>
  <c r="Q71" i="7"/>
  <c r="Q73" i="7"/>
  <c r="Q75" i="7"/>
  <c r="Q77" i="7"/>
  <c r="Q79" i="7"/>
  <c r="Q81" i="7"/>
  <c r="Q83" i="7"/>
  <c r="Q85" i="7"/>
  <c r="Q87" i="7"/>
  <c r="Q89" i="7"/>
  <c r="Q91" i="7"/>
  <c r="Q93" i="7"/>
  <c r="Q95" i="7"/>
  <c r="Q97" i="7"/>
  <c r="Q99" i="7"/>
  <c r="Q101" i="7"/>
  <c r="Q103" i="7"/>
  <c r="Q105" i="7"/>
  <c r="Q107" i="7"/>
  <c r="Q109" i="7"/>
  <c r="Q111" i="7"/>
  <c r="Q113" i="7"/>
  <c r="Q115" i="7"/>
  <c r="Q26" i="7"/>
  <c r="Q28" i="7"/>
  <c r="Q30" i="7"/>
  <c r="Q32" i="7"/>
  <c r="Q34" i="7"/>
  <c r="Q36" i="7"/>
  <c r="Q38" i="7"/>
  <c r="Q40" i="7"/>
  <c r="Q42" i="7"/>
  <c r="Q44" i="7"/>
  <c r="Q46" i="7"/>
  <c r="Q48" i="7"/>
  <c r="Q50" i="7"/>
  <c r="Q52" i="7"/>
  <c r="Q54" i="7"/>
  <c r="Q56" i="7"/>
  <c r="Q58" i="7"/>
  <c r="Q60" i="7"/>
  <c r="Q62" i="7"/>
  <c r="Q64" i="7"/>
  <c r="Q66" i="7"/>
  <c r="Q68" i="7"/>
  <c r="Q70" i="7"/>
  <c r="Q72" i="7"/>
  <c r="Q74" i="7"/>
  <c r="Q76" i="7"/>
  <c r="Q78" i="7"/>
  <c r="Q80" i="7"/>
  <c r="Q82" i="7"/>
  <c r="Q84" i="7"/>
  <c r="Q86" i="7"/>
  <c r="Q88" i="7"/>
  <c r="Q90" i="7"/>
  <c r="Q92" i="7"/>
  <c r="Q94" i="7"/>
  <c r="Q96" i="7"/>
  <c r="Q98" i="7"/>
  <c r="Q100" i="7"/>
  <c r="Q102" i="7"/>
  <c r="Q104" i="7"/>
  <c r="Q106" i="7"/>
  <c r="Q108" i="7"/>
  <c r="Q110" i="7"/>
  <c r="Q112" i="7"/>
  <c r="Q114" i="7"/>
  <c r="Q116" i="7"/>
  <c r="I25" i="7"/>
  <c r="Q25" i="7" s="1"/>
  <c r="C36" i="37"/>
  <c r="F35" i="37"/>
  <c r="G35" i="37" s="1"/>
  <c r="F7" i="4" l="1"/>
  <c r="G102" i="45"/>
  <c r="C37" i="37"/>
  <c r="F36" i="37"/>
  <c r="G36" i="37" s="1"/>
  <c r="O92" i="45" l="1"/>
  <c r="G21" i="7" s="1"/>
  <c r="O21" i="7" s="1"/>
  <c r="N102" i="45"/>
  <c r="P20" i="5"/>
  <c r="C38" i="37"/>
  <c r="F37" i="37"/>
  <c r="G37" i="37" s="1"/>
  <c r="F6" i="4" l="1"/>
  <c r="F9" i="4" s="1"/>
  <c r="O102" i="45"/>
  <c r="H21" i="30"/>
  <c r="P96" i="48"/>
  <c r="G92" i="48" s="1"/>
  <c r="F92" i="48"/>
  <c r="AA92" i="48" s="1"/>
  <c r="P95" i="48"/>
  <c r="F94" i="48"/>
  <c r="K13" i="30"/>
  <c r="C39" i="37"/>
  <c r="F38" i="37"/>
  <c r="G38" i="37" s="1"/>
  <c r="S94" i="48" l="1"/>
  <c r="T94" i="48" s="1"/>
  <c r="AA94" i="48"/>
  <c r="B114" i="48"/>
  <c r="O114" i="48" s="1"/>
  <c r="S92" i="48"/>
  <c r="F6" i="28" s="1"/>
  <c r="F4" i="48" s="1"/>
  <c r="G94" i="48"/>
  <c r="J15" i="7"/>
  <c r="C40" i="37"/>
  <c r="F39" i="37"/>
  <c r="G39" i="37" s="1"/>
  <c r="F102" i="48" l="1"/>
  <c r="F101" i="48"/>
  <c r="B112" i="48"/>
  <c r="T92" i="48"/>
  <c r="C114" i="48"/>
  <c r="E114" i="48" s="1"/>
  <c r="W94" i="48"/>
  <c r="X94" i="48" s="1"/>
  <c r="D41" i="37"/>
  <c r="F40" i="37"/>
  <c r="O102" i="48" l="1"/>
  <c r="G102" i="48"/>
  <c r="AA102" i="48"/>
  <c r="G101" i="48"/>
  <c r="O101" i="48"/>
  <c r="F7" i="28"/>
  <c r="AA101" i="48"/>
  <c r="C112" i="48"/>
  <c r="E112" i="48"/>
  <c r="P21" i="5"/>
  <c r="F21" i="12"/>
  <c r="G28" i="30"/>
  <c r="G40" i="37"/>
  <c r="G27" i="30" s="1"/>
  <c r="F41" i="37"/>
  <c r="D42" i="37"/>
  <c r="F96" i="37"/>
  <c r="S101" i="48" l="1"/>
  <c r="B121" i="48" s="1"/>
  <c r="F99" i="48"/>
  <c r="P101" i="48"/>
  <c r="S102" i="48"/>
  <c r="B122" i="48" s="1"/>
  <c r="F100" i="48"/>
  <c r="P102" i="48"/>
  <c r="V122" i="48"/>
  <c r="B121" i="45" s="1"/>
  <c r="G96" i="37"/>
  <c r="G20" i="12"/>
  <c r="F42" i="37"/>
  <c r="D43" i="37"/>
  <c r="W102" i="48" l="1"/>
  <c r="X102" i="48" s="1"/>
  <c r="G100" i="48"/>
  <c r="O99" i="48"/>
  <c r="O100" i="48"/>
  <c r="W101" i="48"/>
  <c r="X101" i="48" s="1"/>
  <c r="G99" i="48"/>
  <c r="F121" i="45"/>
  <c r="L121" i="45"/>
  <c r="M121" i="45" s="1"/>
  <c r="I121" i="45"/>
  <c r="J121" i="45" s="1"/>
  <c r="Y123" i="48"/>
  <c r="V121" i="48"/>
  <c r="J25" i="7"/>
  <c r="J19" i="7"/>
  <c r="D44" i="37"/>
  <c r="F43" i="37"/>
  <c r="S100" i="48" l="1"/>
  <c r="P100" i="48"/>
  <c r="G98" i="48" s="1"/>
  <c r="F98" i="48"/>
  <c r="S99" i="48"/>
  <c r="P99" i="48"/>
  <c r="G97" i="48" s="1"/>
  <c r="F97" i="48"/>
  <c r="AA100" i="48"/>
  <c r="AA99" i="48"/>
  <c r="V123" i="48"/>
  <c r="I18" i="29" s="1"/>
  <c r="I22" i="29" s="1"/>
  <c r="B120" i="45"/>
  <c r="G121" i="45"/>
  <c r="N121" i="45" s="1"/>
  <c r="D121" i="45"/>
  <c r="D45" i="37"/>
  <c r="F44" i="37"/>
  <c r="O98" i="48" l="1"/>
  <c r="T100" i="48"/>
  <c r="B120" i="48"/>
  <c r="O97" i="48"/>
  <c r="T99" i="48"/>
  <c r="B119" i="48"/>
  <c r="L120" i="45"/>
  <c r="M120" i="45" s="1"/>
  <c r="I120" i="45"/>
  <c r="J120" i="45" s="1"/>
  <c r="F120" i="45"/>
  <c r="G120" i="45" s="1"/>
  <c r="B122" i="45"/>
  <c r="D46" i="37"/>
  <c r="F45" i="37"/>
  <c r="C119" i="48" l="1"/>
  <c r="E119" i="48" s="1"/>
  <c r="W99" i="48"/>
  <c r="X99" i="48" s="1"/>
  <c r="S97" i="48"/>
  <c r="F95" i="48"/>
  <c r="P97" i="48"/>
  <c r="O103" i="48"/>
  <c r="W100" i="48"/>
  <c r="X100" i="48" s="1"/>
  <c r="C120" i="48"/>
  <c r="E120" i="48" s="1"/>
  <c r="S98" i="48"/>
  <c r="F96" i="48"/>
  <c r="P98" i="48"/>
  <c r="G96" i="48" s="1"/>
  <c r="AA97" i="48"/>
  <c r="AA98" i="48"/>
  <c r="N120" i="45"/>
  <c r="J122" i="45"/>
  <c r="I122" i="45"/>
  <c r="M122" i="45"/>
  <c r="L122" i="45"/>
  <c r="D120" i="45"/>
  <c r="D122" i="45" s="1"/>
  <c r="F122" i="45"/>
  <c r="G7" i="4" s="1"/>
  <c r="F46" i="37"/>
  <c r="D47" i="37"/>
  <c r="B118" i="48" l="1"/>
  <c r="T98" i="48"/>
  <c r="G95" i="48"/>
  <c r="G103" i="48" s="1"/>
  <c r="P103" i="48"/>
  <c r="B117" i="48"/>
  <c r="T97" i="48"/>
  <c r="S96" i="48"/>
  <c r="AA96" i="48"/>
  <c r="S95" i="48"/>
  <c r="AA95" i="48"/>
  <c r="F103" i="48"/>
  <c r="G122" i="45"/>
  <c r="P117" i="48"/>
  <c r="G115" i="48" s="1"/>
  <c r="F115" i="48"/>
  <c r="D48" i="37"/>
  <c r="F47" i="37"/>
  <c r="G47" i="37" s="1"/>
  <c r="T95" i="48" l="1"/>
  <c r="B115" i="48"/>
  <c r="S103" i="48"/>
  <c r="F5" i="28" s="1"/>
  <c r="T96" i="48"/>
  <c r="B116" i="48"/>
  <c r="O116" i="48" s="1"/>
  <c r="W97" i="48"/>
  <c r="X97" i="48" s="1"/>
  <c r="C117" i="48"/>
  <c r="E117" i="48" s="1"/>
  <c r="W98" i="48"/>
  <c r="X98" i="48" s="1"/>
  <c r="C118" i="48"/>
  <c r="E118" i="48" s="1"/>
  <c r="N122" i="45"/>
  <c r="O112" i="45"/>
  <c r="H21" i="7" s="1"/>
  <c r="P21" i="7" s="1"/>
  <c r="D49" i="37"/>
  <c r="F48" i="37"/>
  <c r="C115" i="48" l="1"/>
  <c r="W95" i="48"/>
  <c r="T103" i="48"/>
  <c r="C116" i="48"/>
  <c r="E116" i="48" s="1"/>
  <c r="W96" i="48"/>
  <c r="X96" i="48" s="1"/>
  <c r="O115" i="48"/>
  <c r="S115" i="48" s="1"/>
  <c r="B123" i="48"/>
  <c r="AA115" i="48"/>
  <c r="G6" i="4"/>
  <c r="O122" i="45"/>
  <c r="I21" i="30"/>
  <c r="T115" i="48"/>
  <c r="P116" i="48"/>
  <c r="G112" i="48" s="1"/>
  <c r="F112" i="48"/>
  <c r="AA112" i="48" s="1"/>
  <c r="F114" i="48"/>
  <c r="F49" i="37"/>
  <c r="D50" i="37"/>
  <c r="E115" i="48" l="1"/>
  <c r="E123" i="48" s="1"/>
  <c r="C123" i="48"/>
  <c r="P115" i="48"/>
  <c r="X95" i="48"/>
  <c r="W103" i="48"/>
  <c r="S114" i="48"/>
  <c r="T114" i="48" s="1"/>
  <c r="AA114" i="48"/>
  <c r="S112" i="48"/>
  <c r="G6" i="28" s="1"/>
  <c r="G4" i="48" s="1"/>
  <c r="G114" i="48"/>
  <c r="W115" i="48"/>
  <c r="X115" i="48" s="1"/>
  <c r="F50" i="37"/>
  <c r="D51" i="37"/>
  <c r="F121" i="48" l="1"/>
  <c r="F122" i="48"/>
  <c r="T112" i="48"/>
  <c r="W114" i="48"/>
  <c r="X114" i="48" s="1"/>
  <c r="F51" i="37"/>
  <c r="D52" i="37"/>
  <c r="O121" i="48" l="1"/>
  <c r="G7" i="28"/>
  <c r="G121" i="48"/>
  <c r="AA121" i="48"/>
  <c r="O122" i="48"/>
  <c r="G122" i="48"/>
  <c r="AA122" i="48"/>
  <c r="S122" i="48"/>
  <c r="D53" i="37"/>
  <c r="F52" i="37"/>
  <c r="P121" i="48" l="1"/>
  <c r="F119" i="48"/>
  <c r="P122" i="48"/>
  <c r="F120" i="48"/>
  <c r="S121" i="48"/>
  <c r="D54" i="37"/>
  <c r="F53" i="37"/>
  <c r="O120" i="48" l="1"/>
  <c r="S120" i="48"/>
  <c r="T120" i="48" s="1"/>
  <c r="O119" i="48"/>
  <c r="AA119" i="48"/>
  <c r="S119" i="48"/>
  <c r="T119" i="48" s="1"/>
  <c r="W122" i="48"/>
  <c r="X122" i="48" s="1"/>
  <c r="G120" i="48"/>
  <c r="W121" i="48"/>
  <c r="X121" i="48" s="1"/>
  <c r="G119" i="48"/>
  <c r="D55" i="37"/>
  <c r="F54" i="37"/>
  <c r="W120" i="48" l="1"/>
  <c r="X120" i="48" s="1"/>
  <c r="P120" i="48"/>
  <c r="G118" i="48" s="1"/>
  <c r="F118" i="48"/>
  <c r="P119" i="48"/>
  <c r="G117" i="48" s="1"/>
  <c r="F117" i="48"/>
  <c r="AA120" i="48"/>
  <c r="F55" i="37"/>
  <c r="D56" i="37"/>
  <c r="O118" i="48" l="1"/>
  <c r="S118" i="48"/>
  <c r="T118" i="48" s="1"/>
  <c r="S117" i="48"/>
  <c r="T117" i="48" s="1"/>
  <c r="W117" i="48" s="1"/>
  <c r="X117" i="48" s="1"/>
  <c r="AA117" i="48"/>
  <c r="W119" i="48"/>
  <c r="X119" i="48" s="1"/>
  <c r="F56" i="37"/>
  <c r="D57" i="37"/>
  <c r="F116" i="48" l="1"/>
  <c r="P118" i="48"/>
  <c r="O123" i="48"/>
  <c r="AA118" i="48"/>
  <c r="F57" i="37"/>
  <c r="D58" i="37"/>
  <c r="G116" i="48" l="1"/>
  <c r="G123" i="48" s="1"/>
  <c r="P123" i="48"/>
  <c r="W118" i="48"/>
  <c r="X118" i="48" s="1"/>
  <c r="S116" i="48"/>
  <c r="AA116" i="48"/>
  <c r="F123" i="48"/>
  <c r="D59" i="37"/>
  <c r="F58" i="37"/>
  <c r="T116" i="48" l="1"/>
  <c r="S123" i="48"/>
  <c r="G5" i="28" s="1"/>
  <c r="I21" i="7"/>
  <c r="Q21" i="7" s="1"/>
  <c r="D60" i="37"/>
  <c r="F59" i="37"/>
  <c r="G59" i="37" s="1"/>
  <c r="W116" i="48" l="1"/>
  <c r="T123" i="48"/>
  <c r="J21" i="30"/>
  <c r="F60" i="37"/>
  <c r="D61" i="37"/>
  <c r="X116" i="48" l="1"/>
  <c r="W123" i="48"/>
  <c r="D62" i="37"/>
  <c r="F61" i="37"/>
  <c r="D63" i="37" l="1"/>
  <c r="F62" i="37"/>
  <c r="D64" i="37" l="1"/>
  <c r="F63" i="37"/>
  <c r="F64" i="37" l="1"/>
  <c r="D65" i="37"/>
  <c r="F65" i="37" l="1"/>
  <c r="D66" i="37"/>
  <c r="F66" i="37" l="1"/>
  <c r="D67" i="37"/>
  <c r="D68" i="37" l="1"/>
  <c r="F67" i="37"/>
  <c r="D69" i="37" l="1"/>
  <c r="F68" i="37"/>
  <c r="D70" i="37" l="1"/>
  <c r="F69" i="37"/>
  <c r="J21" i="7" l="1"/>
  <c r="F70" i="37"/>
  <c r="D71" i="37"/>
  <c r="K21" i="30" l="1"/>
  <c r="D72" i="37"/>
  <c r="F71" i="37"/>
  <c r="G71" i="37" s="1"/>
  <c r="D73" i="37" l="1"/>
  <c r="F72" i="37"/>
  <c r="F73" i="37" l="1"/>
  <c r="D74" i="37"/>
  <c r="F74" i="37" l="1"/>
  <c r="D75" i="37"/>
  <c r="F75" i="37" l="1"/>
  <c r="D76" i="37"/>
  <c r="D77" i="37" l="1"/>
  <c r="F76" i="37"/>
  <c r="D78" i="37" l="1"/>
  <c r="F77" i="37"/>
  <c r="D79" i="37" l="1"/>
  <c r="F78" i="37"/>
  <c r="F79" i="37" l="1"/>
  <c r="D80" i="37"/>
  <c r="F80" i="37" l="1"/>
  <c r="D81" i="37"/>
  <c r="F81" i="37" l="1"/>
  <c r="D82" i="37"/>
  <c r="D83" i="37" l="1"/>
  <c r="F82" i="37"/>
  <c r="D84" i="37" l="1"/>
  <c r="F83" i="37"/>
  <c r="G83" i="37" s="1"/>
  <c r="F84" i="37" l="1"/>
  <c r="D85" i="37"/>
  <c r="D86" i="37" l="1"/>
  <c r="F85" i="37"/>
  <c r="D87" i="37" l="1"/>
  <c r="F86" i="37"/>
  <c r="D88" i="37" l="1"/>
  <c r="F87" i="37"/>
  <c r="F88" i="37" l="1"/>
  <c r="D89" i="37"/>
  <c r="F89" i="37" l="1"/>
  <c r="D90" i="37"/>
  <c r="F90" i="37" l="1"/>
  <c r="D91" i="37"/>
  <c r="D92" i="37" l="1"/>
  <c r="F91" i="37"/>
  <c r="D93" i="37" l="1"/>
  <c r="F92" i="37"/>
  <c r="D94" i="37" l="1"/>
  <c r="F94" i="37" s="1"/>
  <c r="F93" i="37"/>
  <c r="F95" i="37" l="1"/>
  <c r="G94" i="37"/>
  <c r="G95" i="37" s="1"/>
  <c r="V14" i="34" l="1"/>
  <c r="V23" i="34" s="1"/>
  <c r="V32" i="34" s="1"/>
  <c r="V41" i="34" s="1"/>
  <c r="V50" i="34" s="1"/>
  <c r="V59" i="34" s="1"/>
  <c r="V68" i="34" s="1"/>
  <c r="U14" i="34"/>
  <c r="U23" i="34" s="1"/>
  <c r="U32" i="34" s="1"/>
  <c r="U41" i="34" s="1"/>
  <c r="U50" i="34" s="1"/>
  <c r="U59" i="34" s="1"/>
  <c r="U68" i="34" s="1"/>
  <c r="D71" i="34"/>
  <c r="D70" i="34"/>
  <c r="D69" i="34"/>
  <c r="D68" i="34"/>
  <c r="D53" i="34"/>
  <c r="D52" i="34"/>
  <c r="D51" i="34"/>
  <c r="D50" i="34"/>
  <c r="D62" i="34"/>
  <c r="D61" i="34"/>
  <c r="D60" i="34"/>
  <c r="D59" i="34"/>
  <c r="D44" i="34"/>
  <c r="D43" i="34"/>
  <c r="D42" i="34"/>
  <c r="D41" i="34"/>
  <c r="D35" i="34"/>
  <c r="D34" i="34"/>
  <c r="D33" i="34"/>
  <c r="D32" i="34"/>
  <c r="D26" i="34"/>
  <c r="D25" i="34"/>
  <c r="D24" i="34"/>
  <c r="D23" i="34"/>
  <c r="D17" i="34"/>
  <c r="D16" i="34"/>
  <c r="D15" i="34"/>
  <c r="D14" i="34"/>
  <c r="S14" i="34"/>
  <c r="S23" i="34" s="1"/>
  <c r="S32" i="34" s="1"/>
  <c r="S41" i="34" s="1"/>
  <c r="S50" i="34" s="1"/>
  <c r="S59" i="34" s="1"/>
  <c r="S68" i="34" s="1"/>
  <c r="M53" i="34"/>
  <c r="M62" i="34" s="1"/>
  <c r="M71" i="34" s="1"/>
  <c r="P51" i="34"/>
  <c r="P60" i="34" s="1"/>
  <c r="P69" i="34" s="1"/>
  <c r="D6" i="34"/>
  <c r="D7" i="34"/>
  <c r="D8" i="34"/>
  <c r="D5" i="34"/>
  <c r="E14" i="34" s="1"/>
  <c r="S17" i="34"/>
  <c r="S26" i="34" s="1"/>
  <c r="S35" i="34" s="1"/>
  <c r="S44" i="34" s="1"/>
  <c r="S53" i="34" s="1"/>
  <c r="S62" i="34" s="1"/>
  <c r="S71" i="34" s="1"/>
  <c r="R17" i="34"/>
  <c r="R26" i="34" s="1"/>
  <c r="R35" i="34" s="1"/>
  <c r="P17" i="34"/>
  <c r="P26" i="34" s="1"/>
  <c r="P35" i="34" s="1"/>
  <c r="P44" i="34" s="1"/>
  <c r="P53" i="34" s="1"/>
  <c r="P62" i="34" s="1"/>
  <c r="P71" i="34" s="1"/>
  <c r="O17" i="34"/>
  <c r="O26" i="34" s="1"/>
  <c r="M17" i="34"/>
  <c r="M26" i="34" s="1"/>
  <c r="M35" i="34" s="1"/>
  <c r="M44" i="34" s="1"/>
  <c r="L17" i="34"/>
  <c r="L26" i="34" s="1"/>
  <c r="J17" i="34"/>
  <c r="J26" i="34" s="1"/>
  <c r="J35" i="34" s="1"/>
  <c r="J44" i="34" s="1"/>
  <c r="J53" i="34" s="1"/>
  <c r="J62" i="34" s="1"/>
  <c r="J71" i="34" s="1"/>
  <c r="I17" i="34"/>
  <c r="I26" i="34" s="1"/>
  <c r="G17" i="34"/>
  <c r="G26" i="34" s="1"/>
  <c r="G35" i="34" s="1"/>
  <c r="G44" i="34" s="1"/>
  <c r="G53" i="34" s="1"/>
  <c r="G62" i="34" s="1"/>
  <c r="G71" i="34" s="1"/>
  <c r="F17" i="34"/>
  <c r="F26" i="34" s="1"/>
  <c r="F35" i="34" s="1"/>
  <c r="S16" i="34"/>
  <c r="S25" i="34" s="1"/>
  <c r="S34" i="34" s="1"/>
  <c r="S43" i="34" s="1"/>
  <c r="S52" i="34" s="1"/>
  <c r="S61" i="34" s="1"/>
  <c r="S70" i="34" s="1"/>
  <c r="R16" i="34"/>
  <c r="R25" i="34" s="1"/>
  <c r="P16" i="34"/>
  <c r="P25" i="34" s="1"/>
  <c r="P34" i="34" s="1"/>
  <c r="P43" i="34" s="1"/>
  <c r="P52" i="34" s="1"/>
  <c r="P61" i="34" s="1"/>
  <c r="P70" i="34" s="1"/>
  <c r="O16" i="34"/>
  <c r="O25" i="34" s="1"/>
  <c r="M16" i="34"/>
  <c r="M25" i="34" s="1"/>
  <c r="M34" i="34" s="1"/>
  <c r="M43" i="34" s="1"/>
  <c r="M52" i="34" s="1"/>
  <c r="M61" i="34" s="1"/>
  <c r="M70" i="34" s="1"/>
  <c r="L16" i="34"/>
  <c r="L25" i="34" s="1"/>
  <c r="J16" i="34"/>
  <c r="J25" i="34" s="1"/>
  <c r="J34" i="34" s="1"/>
  <c r="J43" i="34" s="1"/>
  <c r="J52" i="34" s="1"/>
  <c r="J61" i="34" s="1"/>
  <c r="J70" i="34" s="1"/>
  <c r="I16" i="34"/>
  <c r="I25" i="34" s="1"/>
  <c r="I34" i="34" s="1"/>
  <c r="G16" i="34"/>
  <c r="G25" i="34" s="1"/>
  <c r="G34" i="34" s="1"/>
  <c r="G43" i="34" s="1"/>
  <c r="G52" i="34" s="1"/>
  <c r="G61" i="34" s="1"/>
  <c r="G70" i="34" s="1"/>
  <c r="F16" i="34"/>
  <c r="F25" i="34" s="1"/>
  <c r="S15" i="34"/>
  <c r="S24" i="34" s="1"/>
  <c r="S33" i="34" s="1"/>
  <c r="S42" i="34" s="1"/>
  <c r="S51" i="34" s="1"/>
  <c r="S60" i="34" s="1"/>
  <c r="S69" i="34" s="1"/>
  <c r="R15" i="34"/>
  <c r="R24" i="34" s="1"/>
  <c r="R33" i="34" s="1"/>
  <c r="P15" i="34"/>
  <c r="P24" i="34" s="1"/>
  <c r="P33" i="34" s="1"/>
  <c r="P42" i="34" s="1"/>
  <c r="O15" i="34"/>
  <c r="O24" i="34" s="1"/>
  <c r="M15" i="34"/>
  <c r="M24" i="34" s="1"/>
  <c r="M33" i="34" s="1"/>
  <c r="M42" i="34" s="1"/>
  <c r="M51" i="34" s="1"/>
  <c r="M60" i="34" s="1"/>
  <c r="M69" i="34" s="1"/>
  <c r="L15" i="34"/>
  <c r="L24" i="34" s="1"/>
  <c r="J15" i="34"/>
  <c r="J24" i="34" s="1"/>
  <c r="J33" i="34" s="1"/>
  <c r="J42" i="34" s="1"/>
  <c r="J51" i="34" s="1"/>
  <c r="J60" i="34" s="1"/>
  <c r="J69" i="34" s="1"/>
  <c r="I15" i="34"/>
  <c r="I24" i="34" s="1"/>
  <c r="G15" i="34"/>
  <c r="G24" i="34" s="1"/>
  <c r="G33" i="34" s="1"/>
  <c r="G42" i="34" s="1"/>
  <c r="G51" i="34" s="1"/>
  <c r="G60" i="34" s="1"/>
  <c r="G69" i="34" s="1"/>
  <c r="F15" i="34"/>
  <c r="F24" i="34" s="1"/>
  <c r="F33" i="34" s="1"/>
  <c r="R14" i="34"/>
  <c r="R23" i="34" s="1"/>
  <c r="P14" i="34"/>
  <c r="P23" i="34" s="1"/>
  <c r="P32" i="34" s="1"/>
  <c r="P41" i="34" s="1"/>
  <c r="P50" i="34" s="1"/>
  <c r="P59" i="34" s="1"/>
  <c r="P68" i="34" s="1"/>
  <c r="O14" i="34"/>
  <c r="O23" i="34" s="1"/>
  <c r="O32" i="34" s="1"/>
  <c r="M14" i="34"/>
  <c r="M23" i="34" s="1"/>
  <c r="M32" i="34" s="1"/>
  <c r="M41" i="34" s="1"/>
  <c r="M50" i="34" s="1"/>
  <c r="M59" i="34" s="1"/>
  <c r="M68" i="34" s="1"/>
  <c r="L14" i="34"/>
  <c r="L23" i="34" s="1"/>
  <c r="J14" i="34"/>
  <c r="J23" i="34" s="1"/>
  <c r="J32" i="34" s="1"/>
  <c r="J41" i="34" s="1"/>
  <c r="J50" i="34" s="1"/>
  <c r="J59" i="34" s="1"/>
  <c r="J68" i="34" s="1"/>
  <c r="I14" i="34"/>
  <c r="I23" i="34" s="1"/>
  <c r="G14" i="34"/>
  <c r="G23" i="34" s="1"/>
  <c r="G32" i="34" s="1"/>
  <c r="G41" i="34" s="1"/>
  <c r="G50" i="34" s="1"/>
  <c r="G59" i="34" s="1"/>
  <c r="G68" i="34" s="1"/>
  <c r="F14" i="34"/>
  <c r="F23" i="34" s="1"/>
  <c r="A11" i="34"/>
  <c r="A20" i="34" s="1"/>
  <c r="A29" i="34" s="1"/>
  <c r="A38" i="34" s="1"/>
  <c r="A47" i="34" s="1"/>
  <c r="A56" i="34" s="1"/>
  <c r="A65" i="34" s="1"/>
  <c r="K6" i="34"/>
  <c r="H5" i="34"/>
  <c r="Q5" i="34"/>
  <c r="E23" i="34" l="1"/>
  <c r="D9" i="34"/>
  <c r="H17" i="34"/>
  <c r="T17" i="34"/>
  <c r="N5" i="34"/>
  <c r="Q14" i="34"/>
  <c r="H15" i="34"/>
  <c r="T15" i="34"/>
  <c r="T8" i="34"/>
  <c r="N8" i="34"/>
  <c r="H8" i="34"/>
  <c r="Q8" i="34"/>
  <c r="L35" i="34"/>
  <c r="N26" i="34"/>
  <c r="T6" i="34"/>
  <c r="N6" i="34"/>
  <c r="H6" i="34"/>
  <c r="Q6" i="34"/>
  <c r="K8" i="34"/>
  <c r="I32" i="34"/>
  <c r="K23" i="34"/>
  <c r="L33" i="34"/>
  <c r="N24" i="34"/>
  <c r="K16" i="34"/>
  <c r="O34" i="34"/>
  <c r="Q25" i="34"/>
  <c r="N14" i="34"/>
  <c r="R32" i="34"/>
  <c r="T23" i="34"/>
  <c r="K5" i="34"/>
  <c r="W5" i="34" s="1"/>
  <c r="K14" i="34"/>
  <c r="N15" i="34"/>
  <c r="Q16" i="34"/>
  <c r="N17" i="34"/>
  <c r="Q23" i="34"/>
  <c r="H24" i="34"/>
  <c r="T24" i="34"/>
  <c r="K25" i="34"/>
  <c r="H26" i="34"/>
  <c r="T26" i="34"/>
  <c r="F32" i="34"/>
  <c r="H23" i="34"/>
  <c r="H14" i="34"/>
  <c r="L32" i="34"/>
  <c r="N23" i="34"/>
  <c r="T14" i="34"/>
  <c r="I33" i="34"/>
  <c r="K24" i="34"/>
  <c r="K15" i="34"/>
  <c r="O33" i="34"/>
  <c r="Q24" i="34"/>
  <c r="Q15" i="34"/>
  <c r="F34" i="34"/>
  <c r="H25" i="34"/>
  <c r="H16" i="34"/>
  <c r="L34" i="34"/>
  <c r="N25" i="34"/>
  <c r="N16" i="34"/>
  <c r="R34" i="34"/>
  <c r="T25" i="34"/>
  <c r="T16" i="34"/>
  <c r="I35" i="34"/>
  <c r="K26" i="34"/>
  <c r="K17" i="34"/>
  <c r="O35" i="34"/>
  <c r="Q26" i="34"/>
  <c r="Q17" i="34"/>
  <c r="O41" i="34"/>
  <c r="Q32" i="34"/>
  <c r="F42" i="34"/>
  <c r="H33" i="34"/>
  <c r="R42" i="34"/>
  <c r="T33" i="34"/>
  <c r="I43" i="34"/>
  <c r="K34" i="34"/>
  <c r="F44" i="34"/>
  <c r="H35" i="34"/>
  <c r="R44" i="34"/>
  <c r="T35" i="34"/>
  <c r="W25" i="34" l="1"/>
  <c r="W14" i="34"/>
  <c r="W6" i="34"/>
  <c r="X6" i="34" s="1"/>
  <c r="Q41" i="34"/>
  <c r="O50" i="34"/>
  <c r="W24" i="34"/>
  <c r="E32" i="34"/>
  <c r="W23" i="34"/>
  <c r="W16" i="34"/>
  <c r="W26" i="34"/>
  <c r="W8" i="34"/>
  <c r="W15" i="34"/>
  <c r="X15" i="34" s="1"/>
  <c r="W17" i="34"/>
  <c r="X25" i="34"/>
  <c r="X16" i="34"/>
  <c r="X8" i="34"/>
  <c r="T44" i="34"/>
  <c r="R53" i="34"/>
  <c r="T42" i="34"/>
  <c r="R51" i="34"/>
  <c r="K43" i="34"/>
  <c r="I52" i="34"/>
  <c r="H44" i="34"/>
  <c r="F53" i="34"/>
  <c r="H42" i="34"/>
  <c r="F51" i="34"/>
  <c r="X5" i="34"/>
  <c r="X17" i="34"/>
  <c r="X23" i="34"/>
  <c r="I44" i="34"/>
  <c r="K35" i="34"/>
  <c r="L43" i="34"/>
  <c r="N34" i="34"/>
  <c r="O42" i="34"/>
  <c r="Q33" i="34"/>
  <c r="O44" i="34"/>
  <c r="Q35" i="34"/>
  <c r="R43" i="34"/>
  <c r="T34" i="34"/>
  <c r="F43" i="34"/>
  <c r="H34" i="34"/>
  <c r="I42" i="34"/>
  <c r="K33" i="34"/>
  <c r="W33" i="34" s="1"/>
  <c r="X14" i="34"/>
  <c r="F41" i="34"/>
  <c r="H32" i="34"/>
  <c r="X24" i="34"/>
  <c r="Q18" i="34"/>
  <c r="N18" i="34"/>
  <c r="T27" i="34"/>
  <c r="L42" i="34"/>
  <c r="N33" i="34"/>
  <c r="L41" i="34"/>
  <c r="N32" i="34"/>
  <c r="X26" i="34"/>
  <c r="K18" i="34"/>
  <c r="R41" i="34"/>
  <c r="T32" i="34"/>
  <c r="T18" i="34"/>
  <c r="O43" i="34"/>
  <c r="Q34" i="34"/>
  <c r="I41" i="34"/>
  <c r="K32" i="34"/>
  <c r="Q7" i="34"/>
  <c r="Q9" i="34" s="1"/>
  <c r="K7" i="34"/>
  <c r="K9" i="34" s="1"/>
  <c r="T7" i="34"/>
  <c r="T9" i="34" s="1"/>
  <c r="H7" i="34"/>
  <c r="N7" i="34"/>
  <c r="N9" i="34" s="1"/>
  <c r="H9" i="34"/>
  <c r="L44" i="34"/>
  <c r="N35" i="34"/>
  <c r="Q27" i="34"/>
  <c r="N27" i="34"/>
  <c r="K27" i="34"/>
  <c r="W35" i="34" l="1"/>
  <c r="N41" i="34"/>
  <c r="L50" i="34"/>
  <c r="H41" i="34"/>
  <c r="F50" i="34"/>
  <c r="W34" i="34"/>
  <c r="Q50" i="34"/>
  <c r="O59" i="34"/>
  <c r="Q43" i="34"/>
  <c r="O52" i="34"/>
  <c r="Q44" i="34"/>
  <c r="O53" i="34"/>
  <c r="N43" i="34"/>
  <c r="L52" i="34"/>
  <c r="W7" i="34"/>
  <c r="X7" i="34" s="1"/>
  <c r="N42" i="34"/>
  <c r="L51" i="34"/>
  <c r="E41" i="34"/>
  <c r="E50" i="34" s="1"/>
  <c r="W32" i="34"/>
  <c r="X32" i="34" s="1"/>
  <c r="N44" i="34"/>
  <c r="L53" i="34"/>
  <c r="K41" i="34"/>
  <c r="I50" i="34"/>
  <c r="Q42" i="34"/>
  <c r="Q45" i="34" s="1"/>
  <c r="O51" i="34"/>
  <c r="K44" i="34"/>
  <c r="I53" i="34"/>
  <c r="W44" i="34"/>
  <c r="J33" i="25"/>
  <c r="J56" i="25"/>
  <c r="J13" i="25"/>
  <c r="J10" i="25"/>
  <c r="T41" i="34"/>
  <c r="R50" i="34"/>
  <c r="T43" i="34"/>
  <c r="T45" i="34" s="1"/>
  <c r="R52" i="34"/>
  <c r="T51" i="34"/>
  <c r="R60" i="34"/>
  <c r="T53" i="34"/>
  <c r="R62" i="34"/>
  <c r="K42" i="34"/>
  <c r="I51" i="34"/>
  <c r="K52" i="34"/>
  <c r="I61" i="34"/>
  <c r="X18" i="34"/>
  <c r="H43" i="34"/>
  <c r="F52" i="34"/>
  <c r="X27" i="34"/>
  <c r="H51" i="34"/>
  <c r="F60" i="34"/>
  <c r="H53" i="34"/>
  <c r="F62" i="34"/>
  <c r="X9" i="34"/>
  <c r="X44" i="34"/>
  <c r="X35" i="34"/>
  <c r="X33" i="34"/>
  <c r="N45" i="34"/>
  <c r="T36" i="34"/>
  <c r="H18" i="34"/>
  <c r="W18" i="34"/>
  <c r="K36" i="34"/>
  <c r="N36" i="34"/>
  <c r="Q36" i="34"/>
  <c r="H27" i="34"/>
  <c r="W27" i="34"/>
  <c r="X34" i="34"/>
  <c r="Q51" i="34" l="1"/>
  <c r="O60" i="34"/>
  <c r="N53" i="34"/>
  <c r="L62" i="34"/>
  <c r="Q53" i="34"/>
  <c r="O62" i="34"/>
  <c r="Q59" i="34"/>
  <c r="O68" i="34"/>
  <c r="Q68" i="34" s="1"/>
  <c r="W43" i="34"/>
  <c r="X43" i="34" s="1"/>
  <c r="N50" i="34"/>
  <c r="L59" i="34"/>
  <c r="W42" i="34"/>
  <c r="X42" i="34" s="1"/>
  <c r="K53" i="34"/>
  <c r="W53" i="34" s="1"/>
  <c r="X53" i="34" s="1"/>
  <c r="I62" i="34"/>
  <c r="K50" i="34"/>
  <c r="I59" i="34"/>
  <c r="N51" i="34"/>
  <c r="L60" i="34"/>
  <c r="L61" i="34"/>
  <c r="N52" i="34"/>
  <c r="O61" i="34"/>
  <c r="Q52" i="34"/>
  <c r="Q54" i="34" s="1"/>
  <c r="E59" i="34"/>
  <c r="H50" i="34"/>
  <c r="F59" i="34"/>
  <c r="X36" i="34"/>
  <c r="J79" i="25"/>
  <c r="W41" i="34"/>
  <c r="X41" i="34" s="1"/>
  <c r="T50" i="34"/>
  <c r="R59" i="34"/>
  <c r="K45" i="34"/>
  <c r="T62" i="34"/>
  <c r="R71" i="34"/>
  <c r="T71" i="34" s="1"/>
  <c r="T60" i="34"/>
  <c r="R69" i="34"/>
  <c r="T69" i="34" s="1"/>
  <c r="T52" i="34"/>
  <c r="R61" i="34"/>
  <c r="I70" i="34"/>
  <c r="K70" i="34" s="1"/>
  <c r="K61" i="34"/>
  <c r="K51" i="34"/>
  <c r="I60" i="34"/>
  <c r="H62" i="34"/>
  <c r="F71" i="34"/>
  <c r="H71" i="34" s="1"/>
  <c r="H60" i="34"/>
  <c r="F69" i="34"/>
  <c r="H69" i="34" s="1"/>
  <c r="H52" i="34"/>
  <c r="W52" i="34" s="1"/>
  <c r="F61" i="34"/>
  <c r="W9" i="34"/>
  <c r="H45" i="34"/>
  <c r="H36" i="34"/>
  <c r="W36" i="34"/>
  <c r="W50" i="34" l="1"/>
  <c r="O70" i="34"/>
  <c r="Q70" i="34" s="1"/>
  <c r="Q61" i="34"/>
  <c r="N54" i="34"/>
  <c r="E68" i="34"/>
  <c r="K59" i="34"/>
  <c r="I68" i="34"/>
  <c r="K68" i="34" s="1"/>
  <c r="Q62" i="34"/>
  <c r="O71" i="34"/>
  <c r="Q71" i="34" s="1"/>
  <c r="Q60" i="34"/>
  <c r="O69" i="34"/>
  <c r="Q69" i="34" s="1"/>
  <c r="K54" i="34"/>
  <c r="L70" i="34"/>
  <c r="N70" i="34" s="1"/>
  <c r="N61" i="34"/>
  <c r="W51" i="34"/>
  <c r="H59" i="34"/>
  <c r="F68" i="34"/>
  <c r="H68" i="34" s="1"/>
  <c r="N60" i="34"/>
  <c r="L69" i="34"/>
  <c r="N69" i="34" s="1"/>
  <c r="K62" i="34"/>
  <c r="W62" i="34" s="1"/>
  <c r="X62" i="34" s="1"/>
  <c r="I71" i="34"/>
  <c r="K71" i="34" s="1"/>
  <c r="W71" i="34" s="1"/>
  <c r="X71" i="34" s="1"/>
  <c r="N59" i="34"/>
  <c r="L68" i="34"/>
  <c r="N68" i="34" s="1"/>
  <c r="Q72" i="34"/>
  <c r="N62" i="34"/>
  <c r="L71" i="34"/>
  <c r="N71" i="34" s="1"/>
  <c r="X45" i="34"/>
  <c r="J102" i="25"/>
  <c r="W45" i="34"/>
  <c r="H54" i="34"/>
  <c r="X52" i="34"/>
  <c r="X50" i="34"/>
  <c r="X51" i="34"/>
  <c r="T54" i="34"/>
  <c r="T59" i="34"/>
  <c r="R68" i="34"/>
  <c r="T68" i="34" s="1"/>
  <c r="R70" i="34"/>
  <c r="T70" i="34" s="1"/>
  <c r="T61" i="34"/>
  <c r="K60" i="34"/>
  <c r="W60" i="34" s="1"/>
  <c r="I69" i="34"/>
  <c r="K69" i="34" s="1"/>
  <c r="K72" i="34" s="1"/>
  <c r="K63" i="34"/>
  <c r="F70" i="34"/>
  <c r="H70" i="34" s="1"/>
  <c r="H61" i="34"/>
  <c r="W59" i="34" l="1"/>
  <c r="N72" i="34"/>
  <c r="Q63" i="34"/>
  <c r="W61" i="34"/>
  <c r="X61" i="34" s="1"/>
  <c r="W68" i="34"/>
  <c r="X68" i="34" s="1"/>
  <c r="W70" i="34"/>
  <c r="N63" i="34"/>
  <c r="W69" i="34"/>
  <c r="X69" i="34" s="1"/>
  <c r="J125" i="25"/>
  <c r="X54" i="34"/>
  <c r="X70" i="34"/>
  <c r="X59" i="34"/>
  <c r="T63" i="34"/>
  <c r="T72" i="34"/>
  <c r="W54" i="34"/>
  <c r="X60" i="34"/>
  <c r="W63" i="34"/>
  <c r="H72" i="34"/>
  <c r="H63" i="34"/>
  <c r="K23" i="41"/>
  <c r="J23" i="41"/>
  <c r="I23" i="41"/>
  <c r="H23" i="41"/>
  <c r="W72" i="34" l="1"/>
  <c r="J171" i="25"/>
  <c r="J148" i="25"/>
  <c r="K108" i="11"/>
  <c r="X72" i="34"/>
  <c r="X63" i="34"/>
  <c r="M108" i="11" l="1"/>
  <c r="L108" i="11"/>
  <c r="AG182" i="24" l="1"/>
  <c r="AG181" i="24"/>
  <c r="AG159" i="24"/>
  <c r="AG158" i="24"/>
  <c r="AG136" i="24"/>
  <c r="AG135" i="24"/>
  <c r="I8" i="5"/>
  <c r="O8" i="5" s="1"/>
  <c r="U8" i="5" s="1"/>
  <c r="AA8" i="5" s="1"/>
  <c r="C22" i="5" s="1"/>
  <c r="I22" i="5" s="1"/>
  <c r="O22" i="5" s="1"/>
  <c r="I7" i="5"/>
  <c r="O7" i="5" s="1"/>
  <c r="U7" i="5" s="1"/>
  <c r="AA7" i="5" s="1"/>
  <c r="C21" i="5" s="1"/>
  <c r="I21" i="5" s="1"/>
  <c r="O21" i="5" s="1"/>
  <c r="I6" i="5"/>
  <c r="O6" i="5" s="1"/>
  <c r="U6" i="5" s="1"/>
  <c r="AA6" i="5" s="1"/>
  <c r="C20" i="5" s="1"/>
  <c r="I20" i="5" s="1"/>
  <c r="O20" i="5" s="1"/>
  <c r="I30" i="5" l="1"/>
  <c r="O30" i="5" s="1"/>
  <c r="R30" i="5" s="1"/>
  <c r="F30" i="5"/>
  <c r="G30" i="5" s="1"/>
  <c r="H30" i="5" s="1"/>
  <c r="I29" i="5"/>
  <c r="O29" i="5" s="1"/>
  <c r="R29" i="5" s="1"/>
  <c r="F29" i="5"/>
  <c r="G29" i="5" s="1"/>
  <c r="H29" i="5" s="1"/>
  <c r="I28" i="5"/>
  <c r="O28" i="5" s="1"/>
  <c r="R28" i="5" s="1"/>
  <c r="F28" i="5"/>
  <c r="G28" i="5" s="1"/>
  <c r="H28" i="5" s="1"/>
  <c r="I27" i="5"/>
  <c r="O27" i="5" s="1"/>
  <c r="R27" i="5" s="1"/>
  <c r="F27" i="5"/>
  <c r="G27" i="5" s="1"/>
  <c r="H27" i="5" s="1"/>
  <c r="I26" i="5"/>
  <c r="O26" i="5" s="1"/>
  <c r="R26" i="5" s="1"/>
  <c r="F26" i="5"/>
  <c r="G26" i="5" s="1"/>
  <c r="H26" i="5" s="1"/>
  <c r="I25" i="5"/>
  <c r="O25" i="5" s="1"/>
  <c r="R25" i="5" s="1"/>
  <c r="F25" i="5"/>
  <c r="G25" i="5" s="1"/>
  <c r="H25" i="5" s="1"/>
  <c r="I24" i="5"/>
  <c r="O24" i="5" s="1"/>
  <c r="R24" i="5" s="1"/>
  <c r="F24" i="5"/>
  <c r="G24" i="5" s="1"/>
  <c r="H24" i="5" s="1"/>
  <c r="I23" i="5"/>
  <c r="O23" i="5" s="1"/>
  <c r="R23" i="5" s="1"/>
  <c r="F23" i="5"/>
  <c r="G23" i="5" s="1"/>
  <c r="H23" i="5" s="1"/>
  <c r="F182" i="24"/>
  <c r="F181" i="24"/>
  <c r="F176" i="24"/>
  <c r="F173" i="24"/>
  <c r="C172" i="24"/>
  <c r="C170" i="24"/>
  <c r="F159" i="24"/>
  <c r="F158" i="24"/>
  <c r="F153" i="24"/>
  <c r="F150" i="24"/>
  <c r="C149" i="24"/>
  <c r="C147" i="24"/>
  <c r="L24" i="5" l="1"/>
  <c r="L26" i="5"/>
  <c r="L28" i="5"/>
  <c r="L30" i="5"/>
  <c r="L23" i="5"/>
  <c r="L25" i="5"/>
  <c r="L27" i="5"/>
  <c r="L29" i="5"/>
  <c r="F130" i="24"/>
  <c r="C126" i="24"/>
  <c r="C124" i="24"/>
  <c r="AB183" i="24"/>
  <c r="L183" i="24"/>
  <c r="J183" i="24"/>
  <c r="E182" i="24"/>
  <c r="E181" i="24"/>
  <c r="P172" i="24"/>
  <c r="H172" i="24"/>
  <c r="P171" i="24"/>
  <c r="AB160" i="24"/>
  <c r="L160" i="24"/>
  <c r="J160" i="24"/>
  <c r="E159" i="24"/>
  <c r="E158" i="24"/>
  <c r="P149" i="24"/>
  <c r="H149" i="24"/>
  <c r="P148" i="24"/>
  <c r="AB137" i="24"/>
  <c r="L137" i="24"/>
  <c r="J137" i="24"/>
  <c r="F136" i="24"/>
  <c r="E136" i="24"/>
  <c r="C136" i="24"/>
  <c r="F135" i="24"/>
  <c r="E135" i="24"/>
  <c r="C135" i="24"/>
  <c r="F127" i="24"/>
  <c r="P126" i="24"/>
  <c r="H126" i="24"/>
  <c r="P125" i="24"/>
  <c r="Z173" i="25"/>
  <c r="W173" i="25"/>
  <c r="T173" i="25"/>
  <c r="S173" i="25"/>
  <c r="Q173" i="25"/>
  <c r="N173" i="25"/>
  <c r="K173" i="25"/>
  <c r="H173" i="25"/>
  <c r="E173" i="25"/>
  <c r="C173" i="25"/>
  <c r="Z170" i="25"/>
  <c r="W170" i="25"/>
  <c r="T170" i="25"/>
  <c r="T169" i="25" s="1"/>
  <c r="S170" i="25"/>
  <c r="S169" i="25" s="1"/>
  <c r="Q170" i="25"/>
  <c r="N170" i="25"/>
  <c r="K170" i="25"/>
  <c r="K169" i="25" s="1"/>
  <c r="H170" i="25"/>
  <c r="H169" i="25" s="1"/>
  <c r="E170" i="25"/>
  <c r="C170" i="25"/>
  <c r="Z169" i="25"/>
  <c r="Q169" i="25"/>
  <c r="E169" i="25"/>
  <c r="Z150" i="25"/>
  <c r="W150" i="25"/>
  <c r="T150" i="25"/>
  <c r="S150" i="25"/>
  <c r="Q150" i="25"/>
  <c r="N150" i="25"/>
  <c r="K150" i="25"/>
  <c r="H150" i="25"/>
  <c r="E150" i="25"/>
  <c r="C150" i="25"/>
  <c r="Z147" i="25"/>
  <c r="W147" i="25"/>
  <c r="W146" i="25" s="1"/>
  <c r="T147" i="25"/>
  <c r="T146" i="25" s="1"/>
  <c r="S147" i="25"/>
  <c r="Q147" i="25"/>
  <c r="N147" i="25"/>
  <c r="K147" i="25"/>
  <c r="K146" i="25" s="1"/>
  <c r="H147" i="25"/>
  <c r="E147" i="25"/>
  <c r="C147" i="25"/>
  <c r="S146" i="25"/>
  <c r="E146" i="25"/>
  <c r="Z127" i="25"/>
  <c r="W127" i="25"/>
  <c r="T127" i="25"/>
  <c r="S127" i="25"/>
  <c r="Q127" i="25"/>
  <c r="N127" i="25"/>
  <c r="K127" i="25"/>
  <c r="H127" i="25"/>
  <c r="E127" i="25"/>
  <c r="C127" i="25"/>
  <c r="Z124" i="25"/>
  <c r="W124" i="25"/>
  <c r="T124" i="25"/>
  <c r="T123" i="25" s="1"/>
  <c r="S124" i="25"/>
  <c r="S123" i="25" s="1"/>
  <c r="Q124" i="25"/>
  <c r="N124" i="25"/>
  <c r="K124" i="25"/>
  <c r="K123" i="25" s="1"/>
  <c r="H124" i="25"/>
  <c r="H123" i="25" s="1"/>
  <c r="E124" i="25"/>
  <c r="C124" i="25"/>
  <c r="Z123" i="25"/>
  <c r="Q123" i="25"/>
  <c r="E123" i="25"/>
  <c r="Q218" i="33"/>
  <c r="O218" i="33"/>
  <c r="M218" i="33"/>
  <c r="K218" i="33"/>
  <c r="I218" i="33"/>
  <c r="G218" i="33"/>
  <c r="E218" i="33"/>
  <c r="C218" i="33"/>
  <c r="B217" i="33"/>
  <c r="R216" i="33"/>
  <c r="P216" i="33"/>
  <c r="N216" i="33"/>
  <c r="L216" i="33"/>
  <c r="J216" i="33"/>
  <c r="H216" i="33"/>
  <c r="F216" i="33"/>
  <c r="D216" i="33"/>
  <c r="R215" i="33"/>
  <c r="P215" i="33"/>
  <c r="N215" i="33"/>
  <c r="L215" i="33"/>
  <c r="J215" i="33"/>
  <c r="H215" i="33"/>
  <c r="F215" i="33"/>
  <c r="D215" i="33"/>
  <c r="R214" i="33"/>
  <c r="P214" i="33"/>
  <c r="N214" i="33"/>
  <c r="L214" i="33"/>
  <c r="J214" i="33"/>
  <c r="H214" i="33"/>
  <c r="F214" i="33"/>
  <c r="D214" i="33"/>
  <c r="R213" i="33"/>
  <c r="P213" i="33"/>
  <c r="N213" i="33"/>
  <c r="L213" i="33"/>
  <c r="J213" i="33"/>
  <c r="H213" i="33"/>
  <c r="F213" i="33"/>
  <c r="D213" i="33"/>
  <c r="R212" i="33"/>
  <c r="P212" i="33"/>
  <c r="N212" i="33"/>
  <c r="L212" i="33"/>
  <c r="J212" i="33"/>
  <c r="H212" i="33"/>
  <c r="F212" i="33"/>
  <c r="D212" i="33"/>
  <c r="R211" i="33"/>
  <c r="P211" i="33"/>
  <c r="N211" i="33"/>
  <c r="L211" i="33"/>
  <c r="J211" i="33"/>
  <c r="H211" i="33"/>
  <c r="F211" i="33"/>
  <c r="D211" i="33"/>
  <c r="R210" i="33"/>
  <c r="P210" i="33"/>
  <c r="N210" i="33"/>
  <c r="L210" i="33"/>
  <c r="J210" i="33"/>
  <c r="H210" i="33"/>
  <c r="F210" i="33"/>
  <c r="D210" i="33"/>
  <c r="R209" i="33"/>
  <c r="P209" i="33"/>
  <c r="N209" i="33"/>
  <c r="L209" i="33"/>
  <c r="J209" i="33"/>
  <c r="H209" i="33"/>
  <c r="F209" i="33"/>
  <c r="D209" i="33"/>
  <c r="R208" i="33"/>
  <c r="P208" i="33"/>
  <c r="N208" i="33"/>
  <c r="L208" i="33"/>
  <c r="J208" i="33"/>
  <c r="H208" i="33"/>
  <c r="F208" i="33"/>
  <c r="D208" i="33"/>
  <c r="R207" i="33"/>
  <c r="P207" i="33"/>
  <c r="N207" i="33"/>
  <c r="L207" i="33"/>
  <c r="J207" i="33"/>
  <c r="H207" i="33"/>
  <c r="F207" i="33"/>
  <c r="D207" i="33"/>
  <c r="R206" i="33"/>
  <c r="P206" i="33"/>
  <c r="N206" i="33"/>
  <c r="L206" i="33"/>
  <c r="J206" i="33"/>
  <c r="H206" i="33"/>
  <c r="F206" i="33"/>
  <c r="D206" i="33"/>
  <c r="R205" i="33"/>
  <c r="P205" i="33"/>
  <c r="N205" i="33"/>
  <c r="L205" i="33"/>
  <c r="J205" i="33"/>
  <c r="H205" i="33"/>
  <c r="F205" i="33"/>
  <c r="D205" i="33"/>
  <c r="R204" i="33"/>
  <c r="P204" i="33"/>
  <c r="N204" i="33"/>
  <c r="L204" i="33"/>
  <c r="J204" i="33"/>
  <c r="H204" i="33"/>
  <c r="F204" i="33"/>
  <c r="D204" i="33"/>
  <c r="R203" i="33"/>
  <c r="P203" i="33"/>
  <c r="N203" i="33"/>
  <c r="L203" i="33"/>
  <c r="J203" i="33"/>
  <c r="H203" i="33"/>
  <c r="F203" i="33"/>
  <c r="D203" i="33"/>
  <c r="R202" i="33"/>
  <c r="P202" i="33"/>
  <c r="N202" i="33"/>
  <c r="L202" i="33"/>
  <c r="J202" i="33"/>
  <c r="H202" i="33"/>
  <c r="F202" i="33"/>
  <c r="D202" i="33"/>
  <c r="R201" i="33"/>
  <c r="P201" i="33"/>
  <c r="N201" i="33"/>
  <c r="L201" i="33"/>
  <c r="J201" i="33"/>
  <c r="H201" i="33"/>
  <c r="F201" i="33"/>
  <c r="D201" i="33"/>
  <c r="R200" i="33"/>
  <c r="P200" i="33"/>
  <c r="N200" i="33"/>
  <c r="L200" i="33"/>
  <c r="J200" i="33"/>
  <c r="H200" i="33"/>
  <c r="F200" i="33"/>
  <c r="D200" i="33"/>
  <c r="R199" i="33"/>
  <c r="R217" i="33" s="1"/>
  <c r="P199" i="33"/>
  <c r="P217" i="33" s="1"/>
  <c r="N199" i="33"/>
  <c r="N217" i="33" s="1"/>
  <c r="L199" i="33"/>
  <c r="L217" i="33" s="1"/>
  <c r="J199" i="33"/>
  <c r="J217" i="33" s="1"/>
  <c r="H199" i="33"/>
  <c r="H217" i="33" s="1"/>
  <c r="F199" i="33"/>
  <c r="P192" i="33" s="1"/>
  <c r="D199" i="33"/>
  <c r="D217" i="33" s="1"/>
  <c r="P191" i="33"/>
  <c r="R184" i="33"/>
  <c r="V182" i="24" s="1"/>
  <c r="W182" i="24" s="1"/>
  <c r="R183" i="33"/>
  <c r="T182" i="24" s="1"/>
  <c r="U182" i="24" s="1"/>
  <c r="R182" i="33"/>
  <c r="R182" i="24" s="1"/>
  <c r="S182" i="24" s="1"/>
  <c r="R181" i="33"/>
  <c r="O182" i="24" s="1"/>
  <c r="P182" i="24" s="1"/>
  <c r="R179" i="33"/>
  <c r="R178" i="33"/>
  <c r="K182" i="24" s="1"/>
  <c r="R177" i="33"/>
  <c r="I182" i="24" s="1"/>
  <c r="C175" i="33"/>
  <c r="C182" i="24" s="1"/>
  <c r="F175" i="33"/>
  <c r="R170" i="33"/>
  <c r="V181" i="24" s="1"/>
  <c r="W181" i="24" s="1"/>
  <c r="R169" i="33"/>
  <c r="T181" i="24" s="1"/>
  <c r="U181" i="24" s="1"/>
  <c r="R168" i="33"/>
  <c r="R181" i="24" s="1"/>
  <c r="S181" i="24" s="1"/>
  <c r="R167" i="33"/>
  <c r="O181" i="24" s="1"/>
  <c r="P181" i="24" s="1"/>
  <c r="R165" i="33"/>
  <c r="R164" i="33"/>
  <c r="K181" i="24" s="1"/>
  <c r="R163" i="33"/>
  <c r="I181" i="24" s="1"/>
  <c r="C161" i="33"/>
  <c r="C181" i="24" s="1"/>
  <c r="F161" i="33"/>
  <c r="R156" i="33"/>
  <c r="V180" i="24" s="1"/>
  <c r="R155" i="33"/>
  <c r="T180" i="24" s="1"/>
  <c r="R154" i="33"/>
  <c r="R180" i="24" s="1"/>
  <c r="R153" i="33"/>
  <c r="O180" i="24" s="1"/>
  <c r="P180" i="24" s="1"/>
  <c r="R151" i="33"/>
  <c r="R150" i="33"/>
  <c r="K180" i="24" s="1"/>
  <c r="R149" i="33"/>
  <c r="I180" i="24" s="1"/>
  <c r="P148" i="33"/>
  <c r="O148" i="33"/>
  <c r="N148" i="33"/>
  <c r="M148" i="33"/>
  <c r="L148" i="33"/>
  <c r="K148" i="33"/>
  <c r="J148" i="33"/>
  <c r="I148" i="33"/>
  <c r="H148" i="33"/>
  <c r="G148" i="33"/>
  <c r="F148" i="33"/>
  <c r="R142" i="33"/>
  <c r="V178" i="24" s="1"/>
  <c r="R141" i="33"/>
  <c r="T178" i="24" s="1"/>
  <c r="R140" i="33"/>
  <c r="R178" i="24" s="1"/>
  <c r="R138" i="33"/>
  <c r="M178" i="24" s="1"/>
  <c r="N178" i="24" s="1"/>
  <c r="H176" i="24" s="1"/>
  <c r="R137" i="33"/>
  <c r="R136" i="33"/>
  <c r="K178" i="24" s="1"/>
  <c r="R135" i="33"/>
  <c r="I178" i="24" s="1"/>
  <c r="P134" i="33"/>
  <c r="O134" i="33"/>
  <c r="N134" i="33"/>
  <c r="M134" i="33"/>
  <c r="L134" i="33"/>
  <c r="K134" i="33"/>
  <c r="J134" i="33"/>
  <c r="I134" i="33"/>
  <c r="H134" i="33"/>
  <c r="G134" i="33"/>
  <c r="F134" i="33"/>
  <c r="Q130" i="33"/>
  <c r="R128" i="33"/>
  <c r="V176" i="24" s="1"/>
  <c r="R127" i="33"/>
  <c r="T176" i="24" s="1"/>
  <c r="R126" i="33"/>
  <c r="R176" i="24" s="1"/>
  <c r="R124" i="33"/>
  <c r="M176" i="24" s="1"/>
  <c r="R123" i="33"/>
  <c r="R122" i="33"/>
  <c r="K176" i="24" s="1"/>
  <c r="R121" i="33"/>
  <c r="I176" i="24" s="1"/>
  <c r="Q120" i="33"/>
  <c r="P120" i="33"/>
  <c r="O120" i="33"/>
  <c r="N120" i="33"/>
  <c r="M120" i="33"/>
  <c r="L120" i="33"/>
  <c r="K120" i="33"/>
  <c r="J120" i="33"/>
  <c r="I120" i="33"/>
  <c r="H120" i="33"/>
  <c r="G120" i="33"/>
  <c r="F120" i="33"/>
  <c r="G119" i="33"/>
  <c r="R114" i="33"/>
  <c r="V179" i="24" s="1"/>
  <c r="R113" i="33"/>
  <c r="T179" i="24" s="1"/>
  <c r="U179" i="24" s="1"/>
  <c r="R112" i="33"/>
  <c r="R179" i="24" s="1"/>
  <c r="S179" i="24" s="1"/>
  <c r="R111" i="33"/>
  <c r="O179" i="24" s="1"/>
  <c r="P179" i="24" s="1"/>
  <c r="R109" i="33"/>
  <c r="R108" i="33"/>
  <c r="K179" i="24" s="1"/>
  <c r="R107" i="33"/>
  <c r="I179" i="24" s="1"/>
  <c r="P106" i="33"/>
  <c r="O106" i="33"/>
  <c r="N106" i="33"/>
  <c r="M106" i="33"/>
  <c r="L106" i="33"/>
  <c r="K106" i="33"/>
  <c r="J106" i="33"/>
  <c r="I106" i="33"/>
  <c r="H106" i="33"/>
  <c r="G106" i="33"/>
  <c r="F106" i="33"/>
  <c r="R100" i="33"/>
  <c r="V177" i="24" s="1"/>
  <c r="R99" i="33"/>
  <c r="T177" i="24" s="1"/>
  <c r="R98" i="33"/>
  <c r="R177" i="24" s="1"/>
  <c r="S177" i="24" s="1"/>
  <c r="R97" i="33"/>
  <c r="O177" i="24" s="1"/>
  <c r="P177" i="24" s="1"/>
  <c r="R95" i="33"/>
  <c r="R94" i="33"/>
  <c r="K177" i="24" s="1"/>
  <c r="R93" i="33"/>
  <c r="I177" i="24" s="1"/>
  <c r="P92" i="33"/>
  <c r="O92" i="33"/>
  <c r="N92" i="33"/>
  <c r="M92" i="33"/>
  <c r="L92" i="33"/>
  <c r="K92" i="33"/>
  <c r="J92" i="33"/>
  <c r="I92" i="33"/>
  <c r="H92" i="33"/>
  <c r="G92" i="33"/>
  <c r="F92" i="33"/>
  <c r="R86" i="33"/>
  <c r="V175" i="24" s="1"/>
  <c r="R85" i="33"/>
  <c r="T175" i="24" s="1"/>
  <c r="R84" i="33"/>
  <c r="R175" i="24" s="1"/>
  <c r="R83" i="33"/>
  <c r="O175" i="24" s="1"/>
  <c r="P175" i="24" s="1"/>
  <c r="R81" i="33"/>
  <c r="R80" i="33"/>
  <c r="K175" i="24" s="1"/>
  <c r="R79" i="33"/>
  <c r="I175" i="24" s="1"/>
  <c r="P78" i="33"/>
  <c r="O78" i="33"/>
  <c r="N78" i="33"/>
  <c r="M78" i="33"/>
  <c r="L78" i="33"/>
  <c r="K78" i="33"/>
  <c r="J78" i="33"/>
  <c r="I78" i="33"/>
  <c r="H78" i="33"/>
  <c r="G78" i="33"/>
  <c r="F78" i="33"/>
  <c r="R72" i="33"/>
  <c r="V174" i="24" s="1"/>
  <c r="R71" i="33"/>
  <c r="T174" i="24" s="1"/>
  <c r="R70" i="33"/>
  <c r="R174" i="24" s="1"/>
  <c r="R69" i="33"/>
  <c r="O174" i="24" s="1"/>
  <c r="Q174" i="24" s="1"/>
  <c r="R67" i="33"/>
  <c r="R66" i="33"/>
  <c r="K174" i="24" s="1"/>
  <c r="R65" i="33"/>
  <c r="I174" i="24" s="1"/>
  <c r="P64" i="33"/>
  <c r="O64" i="33"/>
  <c r="N64" i="33"/>
  <c r="M64" i="33"/>
  <c r="L64" i="33"/>
  <c r="K64" i="33"/>
  <c r="J64" i="33"/>
  <c r="I64" i="33"/>
  <c r="H64" i="33"/>
  <c r="G64" i="33"/>
  <c r="F64" i="33"/>
  <c r="R58" i="33"/>
  <c r="V173" i="24" s="1"/>
  <c r="R57" i="33"/>
  <c r="T173" i="24" s="1"/>
  <c r="R56" i="33"/>
  <c r="R173" i="24" s="1"/>
  <c r="R55" i="33"/>
  <c r="O173" i="24" s="1"/>
  <c r="Q173" i="24" s="1"/>
  <c r="R54" i="33"/>
  <c r="M173" i="24" s="1"/>
  <c r="R52" i="33"/>
  <c r="K173" i="24" s="1"/>
  <c r="R51" i="33"/>
  <c r="I173" i="24" s="1"/>
  <c r="Q50" i="33"/>
  <c r="P50" i="33"/>
  <c r="O50" i="33"/>
  <c r="N50" i="33"/>
  <c r="M50" i="33"/>
  <c r="L50" i="33"/>
  <c r="K50" i="33"/>
  <c r="J50" i="33"/>
  <c r="I50" i="33"/>
  <c r="H50" i="33"/>
  <c r="G50" i="33"/>
  <c r="F50" i="33"/>
  <c r="R44" i="33"/>
  <c r="V171" i="24" s="1"/>
  <c r="R43" i="33"/>
  <c r="T171" i="24" s="1"/>
  <c r="R42" i="33"/>
  <c r="R171" i="24" s="1"/>
  <c r="R41" i="33"/>
  <c r="R40" i="33"/>
  <c r="M171" i="24" s="1"/>
  <c r="N171" i="24" s="1"/>
  <c r="R38" i="33"/>
  <c r="K171" i="24" s="1"/>
  <c r="R37" i="33"/>
  <c r="I171" i="24" s="1"/>
  <c r="Q36" i="33"/>
  <c r="P36" i="33"/>
  <c r="O36" i="33"/>
  <c r="N36" i="33"/>
  <c r="M36" i="33"/>
  <c r="L36" i="33"/>
  <c r="K36" i="33"/>
  <c r="J36" i="33"/>
  <c r="I36" i="33"/>
  <c r="G36" i="33"/>
  <c r="F36" i="33"/>
  <c r="R30" i="33"/>
  <c r="V172" i="24" s="1"/>
  <c r="R29" i="33"/>
  <c r="T172" i="24" s="1"/>
  <c r="R28" i="33"/>
  <c r="R172" i="24" s="1"/>
  <c r="R27" i="33"/>
  <c r="R26" i="33"/>
  <c r="M172" i="24" s="1"/>
  <c r="N172" i="24" s="1"/>
  <c r="R25" i="33"/>
  <c r="R24" i="33"/>
  <c r="K172" i="24" s="1"/>
  <c r="R23" i="33"/>
  <c r="I172" i="24" s="1"/>
  <c r="Q22" i="33"/>
  <c r="P22" i="33"/>
  <c r="O22" i="33"/>
  <c r="N22" i="33"/>
  <c r="M22" i="33"/>
  <c r="L22" i="33"/>
  <c r="K22" i="33"/>
  <c r="J22" i="33"/>
  <c r="I22" i="33"/>
  <c r="H22" i="33"/>
  <c r="G22" i="33"/>
  <c r="F22" i="33"/>
  <c r="R22" i="33" s="1"/>
  <c r="G172" i="24" s="1"/>
  <c r="R16" i="33"/>
  <c r="V170" i="24" s="1"/>
  <c r="R15" i="33"/>
  <c r="T170" i="24" s="1"/>
  <c r="R14" i="33"/>
  <c r="R170" i="24" s="1"/>
  <c r="R183" i="24" s="1"/>
  <c r="R13" i="33"/>
  <c r="R12" i="33"/>
  <c r="M170" i="24" s="1"/>
  <c r="R11" i="33"/>
  <c r="R10" i="33"/>
  <c r="K170" i="24" s="1"/>
  <c r="K183" i="24" s="1"/>
  <c r="R9" i="33"/>
  <c r="I170" i="24" s="1"/>
  <c r="R8" i="33"/>
  <c r="G170" i="24" s="1"/>
  <c r="R4" i="33"/>
  <c r="Q218" i="32"/>
  <c r="O218" i="32"/>
  <c r="M218" i="32"/>
  <c r="K218" i="32"/>
  <c r="I218" i="32"/>
  <c r="G218" i="32"/>
  <c r="E218" i="32"/>
  <c r="C218" i="32"/>
  <c r="B217" i="32"/>
  <c r="R216" i="32"/>
  <c r="P216" i="32"/>
  <c r="N216" i="32"/>
  <c r="L216" i="32"/>
  <c r="J216" i="32"/>
  <c r="H216" i="32"/>
  <c r="F216" i="32"/>
  <c r="D216" i="32"/>
  <c r="R215" i="32"/>
  <c r="P215" i="32"/>
  <c r="N215" i="32"/>
  <c r="L215" i="32"/>
  <c r="J215" i="32"/>
  <c r="H215" i="32"/>
  <c r="F215" i="32"/>
  <c r="D215" i="32"/>
  <c r="R214" i="32"/>
  <c r="P214" i="32"/>
  <c r="N214" i="32"/>
  <c r="L214" i="32"/>
  <c r="J214" i="32"/>
  <c r="H214" i="32"/>
  <c r="F214" i="32"/>
  <c r="D214" i="32"/>
  <c r="R213" i="32"/>
  <c r="P213" i="32"/>
  <c r="N213" i="32"/>
  <c r="L213" i="32"/>
  <c r="J213" i="32"/>
  <c r="H213" i="32"/>
  <c r="F213" i="32"/>
  <c r="D213" i="32"/>
  <c r="R212" i="32"/>
  <c r="P212" i="32"/>
  <c r="N212" i="32"/>
  <c r="L212" i="32"/>
  <c r="J212" i="32"/>
  <c r="H212" i="32"/>
  <c r="F212" i="32"/>
  <c r="D212" i="32"/>
  <c r="R211" i="32"/>
  <c r="P211" i="32"/>
  <c r="N211" i="32"/>
  <c r="L211" i="32"/>
  <c r="J211" i="32"/>
  <c r="H211" i="32"/>
  <c r="F211" i="32"/>
  <c r="D211" i="32"/>
  <c r="R210" i="32"/>
  <c r="P210" i="32"/>
  <c r="N210" i="32"/>
  <c r="L210" i="32"/>
  <c r="J210" i="32"/>
  <c r="H210" i="32"/>
  <c r="F210" i="32"/>
  <c r="D210" i="32"/>
  <c r="R209" i="32"/>
  <c r="P209" i="32"/>
  <c r="N209" i="32"/>
  <c r="L209" i="32"/>
  <c r="J209" i="32"/>
  <c r="H209" i="32"/>
  <c r="F209" i="32"/>
  <c r="D209" i="32"/>
  <c r="R208" i="32"/>
  <c r="P208" i="32"/>
  <c r="N208" i="32"/>
  <c r="L208" i="32"/>
  <c r="J208" i="32"/>
  <c r="H208" i="32"/>
  <c r="F208" i="32"/>
  <c r="D208" i="32"/>
  <c r="R207" i="32"/>
  <c r="P207" i="32"/>
  <c r="N207" i="32"/>
  <c r="L207" i="32"/>
  <c r="J207" i="32"/>
  <c r="H207" i="32"/>
  <c r="F207" i="32"/>
  <c r="D207" i="32"/>
  <c r="R206" i="32"/>
  <c r="P206" i="32"/>
  <c r="N206" i="32"/>
  <c r="L206" i="32"/>
  <c r="J206" i="32"/>
  <c r="H206" i="32"/>
  <c r="F206" i="32"/>
  <c r="D206" i="32"/>
  <c r="R205" i="32"/>
  <c r="P205" i="32"/>
  <c r="N205" i="32"/>
  <c r="L205" i="32"/>
  <c r="J205" i="32"/>
  <c r="H205" i="32"/>
  <c r="F205" i="32"/>
  <c r="D205" i="32"/>
  <c r="R204" i="32"/>
  <c r="P204" i="32"/>
  <c r="N204" i="32"/>
  <c r="L204" i="32"/>
  <c r="J204" i="32"/>
  <c r="H204" i="32"/>
  <c r="F204" i="32"/>
  <c r="D204" i="32"/>
  <c r="R203" i="32"/>
  <c r="P203" i="32"/>
  <c r="N203" i="32"/>
  <c r="L203" i="32"/>
  <c r="J203" i="32"/>
  <c r="H203" i="32"/>
  <c r="F203" i="32"/>
  <c r="D203" i="32"/>
  <c r="R202" i="32"/>
  <c r="P202" i="32"/>
  <c r="N202" i="32"/>
  <c r="L202" i="32"/>
  <c r="J202" i="32"/>
  <c r="H202" i="32"/>
  <c r="F202" i="32"/>
  <c r="D202" i="32"/>
  <c r="R201" i="32"/>
  <c r="P201" i="32"/>
  <c r="N201" i="32"/>
  <c r="L201" i="32"/>
  <c r="J201" i="32"/>
  <c r="H201" i="32"/>
  <c r="F201" i="32"/>
  <c r="D201" i="32"/>
  <c r="R200" i="32"/>
  <c r="P200" i="32"/>
  <c r="N200" i="32"/>
  <c r="L200" i="32"/>
  <c r="J200" i="32"/>
  <c r="H200" i="32"/>
  <c r="F200" i="32"/>
  <c r="D200" i="32"/>
  <c r="R199" i="32"/>
  <c r="R217" i="32" s="1"/>
  <c r="P199" i="32"/>
  <c r="P217" i="32" s="1"/>
  <c r="N199" i="32"/>
  <c r="N217" i="32" s="1"/>
  <c r="L199" i="32"/>
  <c r="L217" i="32" s="1"/>
  <c r="J199" i="32"/>
  <c r="J217" i="32" s="1"/>
  <c r="H199" i="32"/>
  <c r="H217" i="32" s="1"/>
  <c r="F199" i="32"/>
  <c r="P192" i="32" s="1"/>
  <c r="D199" i="32"/>
  <c r="D217" i="32" s="1"/>
  <c r="R184" i="32"/>
  <c r="V159" i="24" s="1"/>
  <c r="W159" i="24" s="1"/>
  <c r="R183" i="32"/>
  <c r="T159" i="24" s="1"/>
  <c r="U159" i="24" s="1"/>
  <c r="R182" i="32"/>
  <c r="R159" i="24" s="1"/>
  <c r="S159" i="24" s="1"/>
  <c r="R181" i="32"/>
  <c r="O159" i="24" s="1"/>
  <c r="Q159" i="24" s="1"/>
  <c r="R179" i="32"/>
  <c r="R178" i="32"/>
  <c r="K159" i="24" s="1"/>
  <c r="R177" i="32"/>
  <c r="I159" i="24" s="1"/>
  <c r="C175" i="32"/>
  <c r="C159" i="24" s="1"/>
  <c r="F175" i="32"/>
  <c r="R170" i="32"/>
  <c r="V158" i="24" s="1"/>
  <c r="W158" i="24" s="1"/>
  <c r="R169" i="32"/>
  <c r="T158" i="24" s="1"/>
  <c r="U158" i="24" s="1"/>
  <c r="R168" i="32"/>
  <c r="R158" i="24" s="1"/>
  <c r="S158" i="24" s="1"/>
  <c r="R167" i="32"/>
  <c r="O158" i="24" s="1"/>
  <c r="P158" i="24" s="1"/>
  <c r="R165" i="32"/>
  <c r="R164" i="32"/>
  <c r="K158" i="24" s="1"/>
  <c r="R163" i="32"/>
  <c r="I158" i="24" s="1"/>
  <c r="C161" i="32"/>
  <c r="C158" i="24" s="1"/>
  <c r="F161" i="32"/>
  <c r="R156" i="32"/>
  <c r="V157" i="24" s="1"/>
  <c r="R155" i="32"/>
  <c r="T157" i="24" s="1"/>
  <c r="R154" i="32"/>
  <c r="R157" i="24" s="1"/>
  <c r="R153" i="32"/>
  <c r="O157" i="24" s="1"/>
  <c r="Q157" i="24" s="1"/>
  <c r="R151" i="32"/>
  <c r="R150" i="32"/>
  <c r="K157" i="24" s="1"/>
  <c r="R149" i="32"/>
  <c r="I157" i="24" s="1"/>
  <c r="P148" i="32"/>
  <c r="O148" i="32"/>
  <c r="N148" i="32"/>
  <c r="M148" i="32"/>
  <c r="L148" i="32"/>
  <c r="K148" i="32"/>
  <c r="J148" i="32"/>
  <c r="I148" i="32"/>
  <c r="H148" i="32"/>
  <c r="G148" i="32"/>
  <c r="F148" i="32"/>
  <c r="R142" i="32"/>
  <c r="V155" i="24" s="1"/>
  <c r="R141" i="32"/>
  <c r="T155" i="24" s="1"/>
  <c r="R140" i="32"/>
  <c r="R155" i="24" s="1"/>
  <c r="R138" i="32"/>
  <c r="M155" i="24" s="1"/>
  <c r="N155" i="24" s="1"/>
  <c r="H153" i="24" s="1"/>
  <c r="R137" i="32"/>
  <c r="R136" i="32"/>
  <c r="K155" i="24" s="1"/>
  <c r="R135" i="32"/>
  <c r="P134" i="32"/>
  <c r="O134" i="32"/>
  <c r="N134" i="32"/>
  <c r="M134" i="32"/>
  <c r="L134" i="32"/>
  <c r="K134" i="32"/>
  <c r="J134" i="32"/>
  <c r="I134" i="32"/>
  <c r="H134" i="32"/>
  <c r="G134" i="32"/>
  <c r="F134" i="32"/>
  <c r="Q130" i="32"/>
  <c r="R128" i="32"/>
  <c r="V153" i="24" s="1"/>
  <c r="R127" i="32"/>
  <c r="T153" i="24" s="1"/>
  <c r="R126" i="32"/>
  <c r="R153" i="24" s="1"/>
  <c r="R124" i="32"/>
  <c r="M153" i="24" s="1"/>
  <c r="R123" i="32"/>
  <c r="R122" i="32"/>
  <c r="K153" i="24" s="1"/>
  <c r="R121" i="32"/>
  <c r="I153" i="24" s="1"/>
  <c r="Q120" i="32"/>
  <c r="P120" i="32"/>
  <c r="O120" i="32"/>
  <c r="N120" i="32"/>
  <c r="M120" i="32"/>
  <c r="L120" i="32"/>
  <c r="K120" i="32"/>
  <c r="J120" i="32"/>
  <c r="I120" i="32"/>
  <c r="H120" i="32"/>
  <c r="G120" i="32"/>
  <c r="F120" i="32"/>
  <c r="G119" i="32"/>
  <c r="F129" i="32" s="1"/>
  <c r="F130" i="32" s="1"/>
  <c r="R114" i="32"/>
  <c r="V156" i="24" s="1"/>
  <c r="R113" i="32"/>
  <c r="T156" i="24" s="1"/>
  <c r="U156" i="24" s="1"/>
  <c r="R112" i="32"/>
  <c r="R156" i="24" s="1"/>
  <c r="S156" i="24" s="1"/>
  <c r="R111" i="32"/>
  <c r="O156" i="24" s="1"/>
  <c r="Q156" i="24" s="1"/>
  <c r="R109" i="32"/>
  <c r="R108" i="32"/>
  <c r="K156" i="24" s="1"/>
  <c r="R107" i="32"/>
  <c r="P106" i="32"/>
  <c r="O106" i="32"/>
  <c r="N106" i="32"/>
  <c r="M106" i="32"/>
  <c r="L106" i="32"/>
  <c r="K106" i="32"/>
  <c r="J106" i="32"/>
  <c r="I106" i="32"/>
  <c r="H106" i="32"/>
  <c r="G106" i="32"/>
  <c r="F106" i="32"/>
  <c r="R100" i="32"/>
  <c r="V154" i="24" s="1"/>
  <c r="R99" i="32"/>
  <c r="T154" i="24" s="1"/>
  <c r="R98" i="32"/>
  <c r="R154" i="24" s="1"/>
  <c r="S154" i="24" s="1"/>
  <c r="R97" i="32"/>
  <c r="O154" i="24" s="1"/>
  <c r="Q154" i="24" s="1"/>
  <c r="R95" i="32"/>
  <c r="R94" i="32"/>
  <c r="K154" i="24" s="1"/>
  <c r="R93" i="32"/>
  <c r="I154" i="24" s="1"/>
  <c r="P92" i="32"/>
  <c r="O92" i="32"/>
  <c r="N92" i="32"/>
  <c r="M92" i="32"/>
  <c r="L92" i="32"/>
  <c r="K92" i="32"/>
  <c r="J92" i="32"/>
  <c r="I92" i="32"/>
  <c r="H92" i="32"/>
  <c r="G92" i="32"/>
  <c r="F92" i="32"/>
  <c r="R86" i="32"/>
  <c r="V152" i="24" s="1"/>
  <c r="R85" i="32"/>
  <c r="T152" i="24" s="1"/>
  <c r="R84" i="32"/>
  <c r="R152" i="24" s="1"/>
  <c r="R83" i="32"/>
  <c r="O152" i="24" s="1"/>
  <c r="P152" i="24" s="1"/>
  <c r="R81" i="32"/>
  <c r="R80" i="32"/>
  <c r="K152" i="24" s="1"/>
  <c r="R79" i="32"/>
  <c r="I152" i="24" s="1"/>
  <c r="P78" i="32"/>
  <c r="O78" i="32"/>
  <c r="N78" i="32"/>
  <c r="M78" i="32"/>
  <c r="L78" i="32"/>
  <c r="K78" i="32"/>
  <c r="J78" i="32"/>
  <c r="I78" i="32"/>
  <c r="H78" i="32"/>
  <c r="G78" i="32"/>
  <c r="F78" i="32"/>
  <c r="R72" i="32"/>
  <c r="V151" i="24" s="1"/>
  <c r="R71" i="32"/>
  <c r="T151" i="24" s="1"/>
  <c r="R70" i="32"/>
  <c r="R151" i="24" s="1"/>
  <c r="R69" i="32"/>
  <c r="O151" i="24" s="1"/>
  <c r="Q151" i="24" s="1"/>
  <c r="R67" i="32"/>
  <c r="R66" i="32"/>
  <c r="K151" i="24" s="1"/>
  <c r="R65" i="32"/>
  <c r="I151" i="24" s="1"/>
  <c r="P64" i="32"/>
  <c r="O64" i="32"/>
  <c r="N64" i="32"/>
  <c r="M64" i="32"/>
  <c r="L64" i="32"/>
  <c r="K64" i="32"/>
  <c r="J64" i="32"/>
  <c r="I64" i="32"/>
  <c r="H64" i="32"/>
  <c r="G64" i="32"/>
  <c r="F64" i="32"/>
  <c r="R58" i="32"/>
  <c r="V150" i="24" s="1"/>
  <c r="R57" i="32"/>
  <c r="T150" i="24" s="1"/>
  <c r="R56" i="32"/>
  <c r="R150" i="24" s="1"/>
  <c r="R55" i="32"/>
  <c r="O150" i="24" s="1"/>
  <c r="Q150" i="24" s="1"/>
  <c r="R54" i="32"/>
  <c r="M150" i="24" s="1"/>
  <c r="R52" i="32"/>
  <c r="K150" i="24" s="1"/>
  <c r="R51" i="32"/>
  <c r="I150" i="24" s="1"/>
  <c r="Q50" i="32"/>
  <c r="P50" i="32"/>
  <c r="O50" i="32"/>
  <c r="N50" i="32"/>
  <c r="M50" i="32"/>
  <c r="L50" i="32"/>
  <c r="K50" i="32"/>
  <c r="J50" i="32"/>
  <c r="I50" i="32"/>
  <c r="H50" i="32"/>
  <c r="G50" i="32"/>
  <c r="F50" i="32"/>
  <c r="R44" i="32"/>
  <c r="V148" i="24" s="1"/>
  <c r="R43" i="32"/>
  <c r="T148" i="24" s="1"/>
  <c r="R42" i="32"/>
  <c r="R148" i="24" s="1"/>
  <c r="R41" i="32"/>
  <c r="R40" i="32"/>
  <c r="M148" i="24" s="1"/>
  <c r="N148" i="24" s="1"/>
  <c r="R38" i="32"/>
  <c r="K148" i="24" s="1"/>
  <c r="R37" i="32"/>
  <c r="I148" i="24" s="1"/>
  <c r="Q36" i="32"/>
  <c r="P36" i="32"/>
  <c r="O36" i="32"/>
  <c r="N36" i="32"/>
  <c r="M36" i="32"/>
  <c r="L36" i="32"/>
  <c r="K36" i="32"/>
  <c r="J36" i="32"/>
  <c r="I36" i="32"/>
  <c r="G36" i="32"/>
  <c r="F36" i="32"/>
  <c r="R30" i="32"/>
  <c r="V149" i="24" s="1"/>
  <c r="R29" i="32"/>
  <c r="T149" i="24" s="1"/>
  <c r="R28" i="32"/>
  <c r="R149" i="24" s="1"/>
  <c r="R27" i="32"/>
  <c r="R26" i="32"/>
  <c r="M149" i="24" s="1"/>
  <c r="N149" i="24" s="1"/>
  <c r="R25" i="32"/>
  <c r="R24" i="32"/>
  <c r="K149" i="24" s="1"/>
  <c r="R23" i="32"/>
  <c r="I149" i="24" s="1"/>
  <c r="Q22" i="32"/>
  <c r="P22" i="32"/>
  <c r="O22" i="32"/>
  <c r="N22" i="32"/>
  <c r="M22" i="32"/>
  <c r="L22" i="32"/>
  <c r="K22" i="32"/>
  <c r="J22" i="32"/>
  <c r="I22" i="32"/>
  <c r="H22" i="32"/>
  <c r="G22" i="32"/>
  <c r="F22" i="32"/>
  <c r="R22" i="32" s="1"/>
  <c r="G149" i="24" s="1"/>
  <c r="R16" i="32"/>
  <c r="V147" i="24" s="1"/>
  <c r="V160" i="24" s="1"/>
  <c r="R15" i="32"/>
  <c r="T147" i="24" s="1"/>
  <c r="R14" i="32"/>
  <c r="R147" i="24" s="1"/>
  <c r="R160" i="24" s="1"/>
  <c r="R13" i="32"/>
  <c r="R12" i="32"/>
  <c r="M147" i="24" s="1"/>
  <c r="R11" i="32"/>
  <c r="R10" i="32"/>
  <c r="K147" i="24" s="1"/>
  <c r="K160" i="24" s="1"/>
  <c r="R9" i="32"/>
  <c r="I147" i="24" s="1"/>
  <c r="R8" i="32"/>
  <c r="G147" i="24" s="1"/>
  <c r="R4" i="32"/>
  <c r="R221" i="31"/>
  <c r="Q218" i="31"/>
  <c r="O218" i="31"/>
  <c r="M218" i="31"/>
  <c r="K218" i="31"/>
  <c r="I218" i="31"/>
  <c r="G218" i="31"/>
  <c r="E218" i="31"/>
  <c r="C218" i="31"/>
  <c r="B217" i="31"/>
  <c r="R216" i="31"/>
  <c r="P216" i="31"/>
  <c r="N216" i="31"/>
  <c r="L216" i="31"/>
  <c r="J216" i="31"/>
  <c r="H216" i="31"/>
  <c r="F216" i="31"/>
  <c r="D216" i="31"/>
  <c r="R215" i="31"/>
  <c r="P215" i="31"/>
  <c r="N215" i="31"/>
  <c r="L215" i="31"/>
  <c r="J215" i="31"/>
  <c r="H215" i="31"/>
  <c r="F215" i="31"/>
  <c r="D215" i="31"/>
  <c r="R214" i="31"/>
  <c r="P214" i="31"/>
  <c r="N214" i="31"/>
  <c r="L214" i="31"/>
  <c r="J214" i="31"/>
  <c r="H214" i="31"/>
  <c r="F214" i="31"/>
  <c r="D214" i="31"/>
  <c r="R213" i="31"/>
  <c r="P213" i="31"/>
  <c r="N213" i="31"/>
  <c r="L213" i="31"/>
  <c r="J213" i="31"/>
  <c r="H213" i="31"/>
  <c r="F213" i="31"/>
  <c r="D213" i="31"/>
  <c r="R212" i="31"/>
  <c r="P212" i="31"/>
  <c r="N212" i="31"/>
  <c r="L212" i="31"/>
  <c r="J212" i="31"/>
  <c r="H212" i="31"/>
  <c r="F212" i="31"/>
  <c r="D212" i="31"/>
  <c r="R211" i="31"/>
  <c r="P211" i="31"/>
  <c r="N211" i="31"/>
  <c r="L211" i="31"/>
  <c r="J211" i="31"/>
  <c r="H211" i="31"/>
  <c r="F211" i="31"/>
  <c r="D211" i="31"/>
  <c r="R210" i="31"/>
  <c r="P210" i="31"/>
  <c r="N210" i="31"/>
  <c r="L210" i="31"/>
  <c r="J210" i="31"/>
  <c r="H210" i="31"/>
  <c r="F210" i="31"/>
  <c r="D210" i="31"/>
  <c r="R209" i="31"/>
  <c r="P209" i="31"/>
  <c r="N209" i="31"/>
  <c r="L209" i="31"/>
  <c r="J209" i="31"/>
  <c r="H209" i="31"/>
  <c r="F209" i="31"/>
  <c r="D209" i="31"/>
  <c r="R208" i="31"/>
  <c r="P208" i="31"/>
  <c r="N208" i="31"/>
  <c r="L208" i="31"/>
  <c r="J208" i="31"/>
  <c r="H208" i="31"/>
  <c r="F208" i="31"/>
  <c r="D208" i="31"/>
  <c r="R207" i="31"/>
  <c r="P207" i="31"/>
  <c r="N207" i="31"/>
  <c r="L207" i="31"/>
  <c r="J207" i="31"/>
  <c r="H207" i="31"/>
  <c r="F207" i="31"/>
  <c r="D207" i="31"/>
  <c r="R206" i="31"/>
  <c r="P206" i="31"/>
  <c r="N206" i="31"/>
  <c r="L206" i="31"/>
  <c r="J206" i="31"/>
  <c r="H206" i="31"/>
  <c r="F206" i="31"/>
  <c r="D206" i="31"/>
  <c r="R205" i="31"/>
  <c r="P205" i="31"/>
  <c r="N205" i="31"/>
  <c r="L205" i="31"/>
  <c r="J205" i="31"/>
  <c r="H205" i="31"/>
  <c r="F205" i="31"/>
  <c r="D205" i="31"/>
  <c r="R204" i="31"/>
  <c r="P204" i="31"/>
  <c r="N204" i="31"/>
  <c r="L204" i="31"/>
  <c r="J204" i="31"/>
  <c r="H204" i="31"/>
  <c r="F204" i="31"/>
  <c r="D204" i="31"/>
  <c r="R203" i="31"/>
  <c r="P203" i="31"/>
  <c r="N203" i="31"/>
  <c r="L203" i="31"/>
  <c r="J203" i="31"/>
  <c r="H203" i="31"/>
  <c r="F203" i="31"/>
  <c r="D203" i="31"/>
  <c r="R202" i="31"/>
  <c r="P202" i="31"/>
  <c r="N202" i="31"/>
  <c r="L202" i="31"/>
  <c r="J202" i="31"/>
  <c r="H202" i="31"/>
  <c r="F202" i="31"/>
  <c r="D202" i="31"/>
  <c r="R201" i="31"/>
  <c r="P201" i="31"/>
  <c r="N201" i="31"/>
  <c r="L201" i="31"/>
  <c r="J201" i="31"/>
  <c r="H201" i="31"/>
  <c r="F201" i="31"/>
  <c r="D201" i="31"/>
  <c r="R200" i="31"/>
  <c r="P200" i="31"/>
  <c r="N200" i="31"/>
  <c r="L200" i="31"/>
  <c r="J200" i="31"/>
  <c r="H200" i="31"/>
  <c r="F200" i="31"/>
  <c r="D200" i="31"/>
  <c r="R199" i="31"/>
  <c r="R217" i="31" s="1"/>
  <c r="P199" i="31"/>
  <c r="P217" i="31" s="1"/>
  <c r="N199" i="31"/>
  <c r="N217" i="31" s="1"/>
  <c r="L199" i="31"/>
  <c r="L217" i="31" s="1"/>
  <c r="J199" i="31"/>
  <c r="J217" i="31" s="1"/>
  <c r="H199" i="31"/>
  <c r="H217" i="31" s="1"/>
  <c r="F199" i="31"/>
  <c r="F217" i="31" s="1"/>
  <c r="D199" i="31"/>
  <c r="D217" i="31" s="1"/>
  <c r="P191" i="31"/>
  <c r="O191" i="31"/>
  <c r="R184" i="31"/>
  <c r="V136" i="24" s="1"/>
  <c r="W136" i="24" s="1"/>
  <c r="R183" i="31"/>
  <c r="T136" i="24" s="1"/>
  <c r="U136" i="24" s="1"/>
  <c r="R182" i="31"/>
  <c r="R136" i="24" s="1"/>
  <c r="S136" i="24" s="1"/>
  <c r="R181" i="31"/>
  <c r="R179" i="31"/>
  <c r="R178" i="31"/>
  <c r="K136" i="24" s="1"/>
  <c r="R177" i="31"/>
  <c r="I136" i="24" s="1"/>
  <c r="F175" i="31"/>
  <c r="G175" i="31" s="1"/>
  <c r="H175" i="31" s="1"/>
  <c r="C175" i="31"/>
  <c r="R170" i="31"/>
  <c r="V135" i="24" s="1"/>
  <c r="W135" i="24" s="1"/>
  <c r="R169" i="31"/>
  <c r="T135" i="24" s="1"/>
  <c r="U135" i="24" s="1"/>
  <c r="R168" i="31"/>
  <c r="R135" i="24" s="1"/>
  <c r="S135" i="24" s="1"/>
  <c r="R167" i="31"/>
  <c r="R165" i="31"/>
  <c r="R164" i="31"/>
  <c r="K135" i="24" s="1"/>
  <c r="R163" i="31"/>
  <c r="I135" i="24" s="1"/>
  <c r="F161" i="31"/>
  <c r="G161" i="31" s="1"/>
  <c r="C161" i="31"/>
  <c r="R156" i="31"/>
  <c r="V134" i="24" s="1"/>
  <c r="R155" i="31"/>
  <c r="T134" i="24" s="1"/>
  <c r="R154" i="31"/>
  <c r="R134" i="24" s="1"/>
  <c r="R153" i="31"/>
  <c r="O134" i="24" s="1"/>
  <c r="Q134" i="24" s="1"/>
  <c r="R151" i="31"/>
  <c r="R150" i="31"/>
  <c r="K134" i="24" s="1"/>
  <c r="R149" i="31"/>
  <c r="I134" i="24" s="1"/>
  <c r="P148" i="31"/>
  <c r="O148" i="31"/>
  <c r="N148" i="31"/>
  <c r="M148" i="31"/>
  <c r="L148" i="31"/>
  <c r="K148" i="31"/>
  <c r="J148" i="31"/>
  <c r="I148" i="31"/>
  <c r="H148" i="31"/>
  <c r="G148" i="31"/>
  <c r="F148" i="31"/>
  <c r="R142" i="31"/>
  <c r="V132" i="24" s="1"/>
  <c r="R141" i="31"/>
  <c r="T132" i="24" s="1"/>
  <c r="R140" i="31"/>
  <c r="R132" i="24" s="1"/>
  <c r="R138" i="31"/>
  <c r="M132" i="24" s="1"/>
  <c r="N132" i="24" s="1"/>
  <c r="H130" i="24" s="1"/>
  <c r="R137" i="31"/>
  <c r="R136" i="31"/>
  <c r="K132" i="24" s="1"/>
  <c r="R135" i="31"/>
  <c r="P134" i="31"/>
  <c r="O134" i="31"/>
  <c r="N134" i="31"/>
  <c r="M134" i="31"/>
  <c r="L134" i="31"/>
  <c r="K134" i="31"/>
  <c r="J134" i="31"/>
  <c r="I134" i="31"/>
  <c r="H134" i="31"/>
  <c r="G134" i="31"/>
  <c r="F134" i="31"/>
  <c r="Q130" i="31"/>
  <c r="R128" i="31"/>
  <c r="V130" i="24" s="1"/>
  <c r="R127" i="31"/>
  <c r="T130" i="24" s="1"/>
  <c r="R126" i="31"/>
  <c r="R130" i="24" s="1"/>
  <c r="R124" i="31"/>
  <c r="M130" i="24" s="1"/>
  <c r="R123" i="31"/>
  <c r="R122" i="31"/>
  <c r="K130" i="24" s="1"/>
  <c r="R121" i="31"/>
  <c r="I130" i="24" s="1"/>
  <c r="Q120" i="31"/>
  <c r="P120" i="31"/>
  <c r="O120" i="31"/>
  <c r="N120" i="31"/>
  <c r="M120" i="31"/>
  <c r="L120" i="31"/>
  <c r="K120" i="31"/>
  <c r="J120" i="31"/>
  <c r="I120" i="31"/>
  <c r="H120" i="31"/>
  <c r="G120" i="31"/>
  <c r="F120" i="31"/>
  <c r="R114" i="31"/>
  <c r="V133" i="24" s="1"/>
  <c r="R113" i="31"/>
  <c r="T133" i="24" s="1"/>
  <c r="U133" i="24" s="1"/>
  <c r="R112" i="31"/>
  <c r="R133" i="24" s="1"/>
  <c r="S133" i="24" s="1"/>
  <c r="R111" i="31"/>
  <c r="O133" i="24" s="1"/>
  <c r="Q133" i="24" s="1"/>
  <c r="R109" i="31"/>
  <c r="R108" i="31"/>
  <c r="R107" i="31"/>
  <c r="P106" i="31"/>
  <c r="O106" i="31"/>
  <c r="N106" i="31"/>
  <c r="M106" i="31"/>
  <c r="L106" i="31"/>
  <c r="K106" i="31"/>
  <c r="J106" i="31"/>
  <c r="I106" i="31"/>
  <c r="H106" i="31"/>
  <c r="G106" i="31"/>
  <c r="F106" i="31"/>
  <c r="R100" i="31"/>
  <c r="V131" i="24" s="1"/>
  <c r="R99" i="31"/>
  <c r="T131" i="24" s="1"/>
  <c r="R98" i="31"/>
  <c r="R131" i="24" s="1"/>
  <c r="S131" i="24" s="1"/>
  <c r="S137" i="24" s="1"/>
  <c r="R97" i="31"/>
  <c r="O131" i="24" s="1"/>
  <c r="Q131" i="24" s="1"/>
  <c r="R95" i="31"/>
  <c r="R94" i="31"/>
  <c r="K131" i="24" s="1"/>
  <c r="R93" i="31"/>
  <c r="I131" i="24" s="1"/>
  <c r="P92" i="31"/>
  <c r="O92" i="31"/>
  <c r="N92" i="31"/>
  <c r="M92" i="31"/>
  <c r="L92" i="31"/>
  <c r="K92" i="31"/>
  <c r="J92" i="31"/>
  <c r="I92" i="31"/>
  <c r="H92" i="31"/>
  <c r="G92" i="31"/>
  <c r="F92" i="31"/>
  <c r="R86" i="31"/>
  <c r="V129" i="24" s="1"/>
  <c r="R85" i="31"/>
  <c r="T129" i="24" s="1"/>
  <c r="R84" i="31"/>
  <c r="R129" i="24" s="1"/>
  <c r="R83" i="31"/>
  <c r="O129" i="24" s="1"/>
  <c r="P129" i="24" s="1"/>
  <c r="R81" i="31"/>
  <c r="R80" i="31"/>
  <c r="K129" i="24" s="1"/>
  <c r="R79" i="31"/>
  <c r="I129" i="24" s="1"/>
  <c r="P78" i="31"/>
  <c r="O78" i="31"/>
  <c r="N78" i="31"/>
  <c r="M78" i="31"/>
  <c r="L78" i="31"/>
  <c r="K78" i="31"/>
  <c r="J78" i="31"/>
  <c r="I78" i="31"/>
  <c r="H78" i="31"/>
  <c r="G78" i="31"/>
  <c r="F78" i="31"/>
  <c r="R72" i="31"/>
  <c r="V128" i="24" s="1"/>
  <c r="R71" i="31"/>
  <c r="T128" i="24" s="1"/>
  <c r="R70" i="31"/>
  <c r="R128" i="24" s="1"/>
  <c r="R69" i="31"/>
  <c r="O128" i="24" s="1"/>
  <c r="Q128" i="24" s="1"/>
  <c r="R67" i="31"/>
  <c r="R66" i="31"/>
  <c r="K128" i="24" s="1"/>
  <c r="R65" i="31"/>
  <c r="I128" i="24" s="1"/>
  <c r="P64" i="31"/>
  <c r="O64" i="31"/>
  <c r="N64" i="31"/>
  <c r="M64" i="31"/>
  <c r="L64" i="31"/>
  <c r="K64" i="31"/>
  <c r="J64" i="31"/>
  <c r="I64" i="31"/>
  <c r="H64" i="31"/>
  <c r="G64" i="31"/>
  <c r="F64" i="31"/>
  <c r="R58" i="31"/>
  <c r="V127" i="24" s="1"/>
  <c r="R57" i="31"/>
  <c r="T127" i="24" s="1"/>
  <c r="R56" i="31"/>
  <c r="R127" i="24" s="1"/>
  <c r="R54" i="31"/>
  <c r="M127" i="24" s="1"/>
  <c r="R52" i="31"/>
  <c r="K127" i="24" s="1"/>
  <c r="R51" i="31"/>
  <c r="I127" i="24" s="1"/>
  <c r="Q50" i="31"/>
  <c r="P50" i="31"/>
  <c r="O50" i="31"/>
  <c r="N50" i="31"/>
  <c r="M50" i="31"/>
  <c r="L50" i="31"/>
  <c r="K50" i="31"/>
  <c r="J50" i="31"/>
  <c r="I50" i="31"/>
  <c r="H50" i="31"/>
  <c r="G50" i="31"/>
  <c r="F50" i="31"/>
  <c r="R50" i="31" s="1"/>
  <c r="G127" i="24" s="1"/>
  <c r="R44" i="31"/>
  <c r="V125" i="24" s="1"/>
  <c r="R43" i="31"/>
  <c r="T125" i="24" s="1"/>
  <c r="R42" i="31"/>
  <c r="R125" i="24" s="1"/>
  <c r="R41" i="31"/>
  <c r="R40" i="31"/>
  <c r="M125" i="24" s="1"/>
  <c r="N125" i="24" s="1"/>
  <c r="R38" i="31"/>
  <c r="K125" i="24" s="1"/>
  <c r="R37" i="31"/>
  <c r="I125" i="24" s="1"/>
  <c r="Q36" i="31"/>
  <c r="P36" i="31"/>
  <c r="O36" i="31"/>
  <c r="N36" i="31"/>
  <c r="M36" i="31"/>
  <c r="L36" i="31"/>
  <c r="K36" i="31"/>
  <c r="J36" i="31"/>
  <c r="I36" i="31"/>
  <c r="G36" i="31"/>
  <c r="F36" i="31"/>
  <c r="R30" i="31"/>
  <c r="V126" i="24" s="1"/>
  <c r="R29" i="31"/>
  <c r="T126" i="24" s="1"/>
  <c r="R28" i="31"/>
  <c r="R126" i="24" s="1"/>
  <c r="R27" i="31"/>
  <c r="R26" i="31"/>
  <c r="M126" i="24" s="1"/>
  <c r="N126" i="24" s="1"/>
  <c r="R25" i="31"/>
  <c r="R24" i="31"/>
  <c r="K126" i="24" s="1"/>
  <c r="R23" i="31"/>
  <c r="I126" i="24" s="1"/>
  <c r="Q22" i="31"/>
  <c r="P22" i="31"/>
  <c r="O22" i="31"/>
  <c r="N22" i="31"/>
  <c r="M22" i="31"/>
  <c r="L22" i="31"/>
  <c r="K22" i="31"/>
  <c r="J22" i="31"/>
  <c r="I22" i="31"/>
  <c r="H22" i="31"/>
  <c r="G22" i="31"/>
  <c r="F22" i="31"/>
  <c r="R16" i="31"/>
  <c r="V124" i="24" s="1"/>
  <c r="V137" i="24" s="1"/>
  <c r="R15" i="31"/>
  <c r="T124" i="24" s="1"/>
  <c r="T137" i="24" s="1"/>
  <c r="R14" i="31"/>
  <c r="R124" i="24" s="1"/>
  <c r="R137" i="24" s="1"/>
  <c r="R13" i="31"/>
  <c r="R12" i="31"/>
  <c r="M124" i="24" s="1"/>
  <c r="R11" i="31"/>
  <c r="R10" i="31"/>
  <c r="K124" i="24" s="1"/>
  <c r="R9" i="31"/>
  <c r="I124" i="24" s="1"/>
  <c r="R8" i="31"/>
  <c r="G124" i="24" s="1"/>
  <c r="R4" i="31"/>
  <c r="D47" i="30"/>
  <c r="C39" i="30"/>
  <c r="E38" i="30"/>
  <c r="F38" i="30" s="1"/>
  <c r="G38" i="30" s="1"/>
  <c r="H38" i="30" s="1"/>
  <c r="I38" i="30" s="1"/>
  <c r="J38" i="30" s="1"/>
  <c r="K38" i="30" s="1"/>
  <c r="L31" i="30"/>
  <c r="L27" i="30"/>
  <c r="E23" i="30"/>
  <c r="L16" i="30"/>
  <c r="E14" i="30"/>
  <c r="F14" i="30" s="1"/>
  <c r="E6" i="30"/>
  <c r="F6" i="30" s="1"/>
  <c r="G6" i="30" s="1"/>
  <c r="H6" i="30" s="1"/>
  <c r="I6" i="30" s="1"/>
  <c r="J6" i="30" s="1"/>
  <c r="K6" i="30" s="1"/>
  <c r="E16" i="29"/>
  <c r="F16" i="29" s="1"/>
  <c r="G16" i="29" s="1"/>
  <c r="H16" i="29" s="1"/>
  <c r="I16" i="29" s="1"/>
  <c r="C6" i="29"/>
  <c r="C5" i="29"/>
  <c r="C4" i="29"/>
  <c r="C4" i="28"/>
  <c r="D4" i="28" s="1"/>
  <c r="E4" i="28" s="1"/>
  <c r="F4" i="28" s="1"/>
  <c r="N191" i="31" l="1"/>
  <c r="K191" i="31"/>
  <c r="F191" i="31"/>
  <c r="T160" i="24"/>
  <c r="V183" i="24"/>
  <c r="N123" i="25"/>
  <c r="W123" i="25"/>
  <c r="N146" i="25"/>
  <c r="P154" i="24"/>
  <c r="I183" i="24"/>
  <c r="T183" i="24"/>
  <c r="Q146" i="25"/>
  <c r="Z146" i="25"/>
  <c r="N169" i="25"/>
  <c r="W169" i="25"/>
  <c r="W160" i="24"/>
  <c r="F217" i="33"/>
  <c r="O192" i="33"/>
  <c r="P131" i="24"/>
  <c r="U183" i="24"/>
  <c r="M133" i="24"/>
  <c r="N133" i="24" s="1"/>
  <c r="H131" i="24" s="1"/>
  <c r="K133" i="24"/>
  <c r="K137" i="24" s="1"/>
  <c r="W183" i="24"/>
  <c r="R120" i="31"/>
  <c r="G130" i="24" s="1"/>
  <c r="I191" i="31"/>
  <c r="M191" i="31"/>
  <c r="R50" i="32"/>
  <c r="G150" i="24" s="1"/>
  <c r="H119" i="32"/>
  <c r="I119" i="32" s="1"/>
  <c r="H129" i="32" s="1"/>
  <c r="H130" i="32" s="1"/>
  <c r="R50" i="33"/>
  <c r="G173" i="24" s="1"/>
  <c r="R120" i="33"/>
  <c r="G176" i="24" s="1"/>
  <c r="H146" i="25"/>
  <c r="Q177" i="24"/>
  <c r="Q179" i="24"/>
  <c r="Q180" i="24"/>
  <c r="Q182" i="24"/>
  <c r="I155" i="24"/>
  <c r="I132" i="24"/>
  <c r="G191" i="31"/>
  <c r="L191" i="31"/>
  <c r="P191" i="32"/>
  <c r="F217" i="32"/>
  <c r="R22" i="31"/>
  <c r="G126" i="24" s="1"/>
  <c r="P192" i="31"/>
  <c r="O192" i="32"/>
  <c r="I133" i="24"/>
  <c r="I156" i="24"/>
  <c r="J191" i="31"/>
  <c r="R120" i="32"/>
  <c r="G153" i="24" s="1"/>
  <c r="H13" i="41"/>
  <c r="D18" i="7"/>
  <c r="L18" i="7" s="1"/>
  <c r="D24" i="7"/>
  <c r="L24" i="7" s="1"/>
  <c r="C12" i="29"/>
  <c r="G4" i="28"/>
  <c r="S183" i="24"/>
  <c r="U160" i="24"/>
  <c r="S160" i="24"/>
  <c r="W137" i="24"/>
  <c r="U137" i="24"/>
  <c r="H173" i="24"/>
  <c r="P170" i="24"/>
  <c r="P173" i="24"/>
  <c r="P174" i="24"/>
  <c r="P147" i="24"/>
  <c r="P150" i="24"/>
  <c r="P151" i="24"/>
  <c r="P156" i="24"/>
  <c r="P157" i="24"/>
  <c r="P159" i="24"/>
  <c r="H150" i="24"/>
  <c r="P124" i="24"/>
  <c r="P128" i="24"/>
  <c r="P133" i="24"/>
  <c r="P134" i="24"/>
  <c r="H127" i="24"/>
  <c r="F171" i="31"/>
  <c r="F172" i="31" s="1"/>
  <c r="H119" i="33"/>
  <c r="F129" i="33"/>
  <c r="G161" i="33"/>
  <c r="G175" i="33"/>
  <c r="F185" i="33" s="1"/>
  <c r="N191" i="33"/>
  <c r="L191" i="33"/>
  <c r="J191" i="33"/>
  <c r="F191" i="33"/>
  <c r="M191" i="33"/>
  <c r="K191" i="33"/>
  <c r="I191" i="33"/>
  <c r="G191" i="33"/>
  <c r="O191" i="33"/>
  <c r="F192" i="33"/>
  <c r="J192" i="33"/>
  <c r="L192" i="33"/>
  <c r="G161" i="32"/>
  <c r="F171" i="32" s="1"/>
  <c r="G175" i="32"/>
  <c r="N191" i="32"/>
  <c r="L191" i="32"/>
  <c r="J191" i="32"/>
  <c r="F191" i="32"/>
  <c r="M191" i="32"/>
  <c r="K191" i="32"/>
  <c r="I191" i="32"/>
  <c r="G191" i="32"/>
  <c r="O191" i="32"/>
  <c r="F192" i="32"/>
  <c r="J192" i="32"/>
  <c r="L192" i="32"/>
  <c r="H161" i="31"/>
  <c r="G171" i="31" s="1"/>
  <c r="G172" i="31" s="1"/>
  <c r="G185" i="31"/>
  <c r="G186" i="31" s="1"/>
  <c r="F185" i="31"/>
  <c r="N192" i="31"/>
  <c r="L192" i="31"/>
  <c r="J192" i="31"/>
  <c r="F192" i="31"/>
  <c r="M192" i="31"/>
  <c r="K192" i="31"/>
  <c r="I192" i="31"/>
  <c r="G192" i="31"/>
  <c r="O192" i="31"/>
  <c r="G14" i="30"/>
  <c r="H14" i="30" s="1"/>
  <c r="I14" i="30" s="1"/>
  <c r="J14" i="30" s="1"/>
  <c r="K14" i="30" s="1"/>
  <c r="D49" i="30"/>
  <c r="L15" i="30"/>
  <c r="D48" i="30"/>
  <c r="D52" i="30" s="1"/>
  <c r="L17" i="30"/>
  <c r="F23" i="30"/>
  <c r="L39" i="30"/>
  <c r="I137" i="24" l="1"/>
  <c r="I160" i="24"/>
  <c r="G129" i="32"/>
  <c r="G130" i="32" s="1"/>
  <c r="N192" i="32"/>
  <c r="I192" i="32"/>
  <c r="M192" i="32"/>
  <c r="G192" i="32"/>
  <c r="K192" i="32"/>
  <c r="N192" i="33"/>
  <c r="K192" i="33"/>
  <c r="I192" i="33"/>
  <c r="G192" i="33"/>
  <c r="M192" i="33"/>
  <c r="I13" i="41"/>
  <c r="E18" i="7"/>
  <c r="M18" i="7" s="1"/>
  <c r="E24" i="7"/>
  <c r="M24" i="7" s="1"/>
  <c r="L13" i="30"/>
  <c r="G23" i="30"/>
  <c r="F186" i="33"/>
  <c r="H161" i="33"/>
  <c r="I119" i="33"/>
  <c r="F171" i="33"/>
  <c r="F130" i="33"/>
  <c r="G129" i="33"/>
  <c r="G130" i="33" s="1"/>
  <c r="H175" i="33"/>
  <c r="G185" i="33" s="1"/>
  <c r="G186" i="33" s="1"/>
  <c r="H175" i="32"/>
  <c r="G185" i="32" s="1"/>
  <c r="G186" i="32" s="1"/>
  <c r="H161" i="32"/>
  <c r="G171" i="32" s="1"/>
  <c r="G172" i="32" s="1"/>
  <c r="F185" i="32"/>
  <c r="F172" i="32"/>
  <c r="J119" i="32"/>
  <c r="I129" i="32" s="1"/>
  <c r="F186" i="31"/>
  <c r="L14" i="30"/>
  <c r="J13" i="41" l="1"/>
  <c r="F18" i="7"/>
  <c r="N18" i="7" s="1"/>
  <c r="F24" i="7"/>
  <c r="N24" i="7" s="1"/>
  <c r="H23" i="30"/>
  <c r="J119" i="33"/>
  <c r="F172" i="33"/>
  <c r="H129" i="33"/>
  <c r="H130" i="33" s="1"/>
  <c r="G171" i="33"/>
  <c r="G172" i="33" s="1"/>
  <c r="I130" i="32"/>
  <c r="F186" i="32"/>
  <c r="K119" i="32"/>
  <c r="J129" i="32" s="1"/>
  <c r="I11" i="30" l="1"/>
  <c r="K7" i="11"/>
  <c r="K13" i="41"/>
  <c r="G18" i="7"/>
  <c r="O18" i="7" s="1"/>
  <c r="G24" i="7"/>
  <c r="O24" i="7" s="1"/>
  <c r="I23" i="30"/>
  <c r="K119" i="33"/>
  <c r="I129" i="33"/>
  <c r="J130" i="32"/>
  <c r="L119" i="32"/>
  <c r="K129" i="32" s="1"/>
  <c r="K130" i="32" s="1"/>
  <c r="L7" i="11" l="1"/>
  <c r="J11" i="30"/>
  <c r="K11" i="30"/>
  <c r="M7" i="11"/>
  <c r="H18" i="7"/>
  <c r="P18" i="7" s="1"/>
  <c r="H24" i="7"/>
  <c r="P24" i="7" s="1"/>
  <c r="J23" i="30"/>
  <c r="I130" i="33"/>
  <c r="L119" i="33"/>
  <c r="K129" i="33" s="1"/>
  <c r="K130" i="33" s="1"/>
  <c r="J129" i="33"/>
  <c r="J130" i="33" s="1"/>
  <c r="M119" i="32"/>
  <c r="L129" i="32" s="1"/>
  <c r="L130" i="32" s="1"/>
  <c r="I18" i="7" l="1"/>
  <c r="Q18" i="7" s="1"/>
  <c r="I24" i="7"/>
  <c r="Q24" i="7" s="1"/>
  <c r="L25" i="30"/>
  <c r="K23" i="30"/>
  <c r="M119" i="33"/>
  <c r="N119" i="32"/>
  <c r="J18" i="7" l="1"/>
  <c r="J24" i="7"/>
  <c r="L23" i="30"/>
  <c r="N119" i="33"/>
  <c r="L129" i="33"/>
  <c r="O119" i="32"/>
  <c r="N129" i="32" s="1"/>
  <c r="N130" i="32" s="1"/>
  <c r="M129" i="32"/>
  <c r="M130" i="32" s="1"/>
  <c r="L130" i="33" l="1"/>
  <c r="O119" i="33"/>
  <c r="M129" i="33"/>
  <c r="M130" i="33" s="1"/>
  <c r="P119" i="32"/>
  <c r="O129" i="32" s="1"/>
  <c r="O130" i="32" s="1"/>
  <c r="P119" i="33" l="1"/>
  <c r="O129" i="33" s="1"/>
  <c r="O130" i="33" s="1"/>
  <c r="N129" i="33"/>
  <c r="N130" i="33" s="1"/>
  <c r="A48" i="24" l="1"/>
  <c r="A71" i="24" s="1"/>
  <c r="A94" i="24" s="1"/>
  <c r="A117" i="24" s="1"/>
  <c r="A140" i="24" s="1"/>
  <c r="A163" i="24" s="1"/>
  <c r="A25" i="24"/>
  <c r="A25" i="25" l="1"/>
  <c r="A48" i="25" s="1"/>
  <c r="A71" i="25" s="1"/>
  <c r="A94" i="25" s="1"/>
  <c r="A117" i="25" s="1"/>
  <c r="A140" i="25" s="1"/>
  <c r="A163" i="25" s="1"/>
  <c r="J108" i="11" l="1"/>
  <c r="I108" i="11"/>
  <c r="H108" i="11"/>
  <c r="G108" i="11"/>
  <c r="G107" i="11"/>
  <c r="J106" i="11"/>
  <c r="I106" i="11"/>
  <c r="H106" i="11"/>
  <c r="G106" i="11"/>
  <c r="E35" i="25" l="1"/>
  <c r="E58" i="25"/>
  <c r="E81" i="25"/>
  <c r="E104" i="25"/>
  <c r="K35" i="25"/>
  <c r="K58" i="25"/>
  <c r="K81" i="25"/>
  <c r="K104" i="25"/>
  <c r="G13" i="38" l="1"/>
  <c r="D13" i="38"/>
  <c r="I107" i="11"/>
  <c r="G10" i="38"/>
  <c r="D10" i="38"/>
  <c r="H107" i="11"/>
  <c r="Z104" i="25"/>
  <c r="W104" i="25"/>
  <c r="T104" i="25"/>
  <c r="S104" i="25"/>
  <c r="Q104" i="25"/>
  <c r="N104" i="25"/>
  <c r="H104" i="25"/>
  <c r="C104" i="25"/>
  <c r="Z101" i="25"/>
  <c r="Z100" i="25" s="1"/>
  <c r="W101" i="25"/>
  <c r="T101" i="25"/>
  <c r="S101" i="25"/>
  <c r="S100" i="25" s="1"/>
  <c r="Q101" i="25"/>
  <c r="N101" i="25"/>
  <c r="K101" i="25"/>
  <c r="K100" i="25" s="1"/>
  <c r="H101" i="25"/>
  <c r="H100" i="25" s="1"/>
  <c r="E101" i="25"/>
  <c r="E100" i="25" s="1"/>
  <c r="C101" i="25"/>
  <c r="T100" i="25"/>
  <c r="Z81" i="25"/>
  <c r="W81" i="25"/>
  <c r="T81" i="25"/>
  <c r="S81" i="25"/>
  <c r="Q81" i="25"/>
  <c r="N81" i="25"/>
  <c r="H81" i="25"/>
  <c r="C81" i="25"/>
  <c r="Z78" i="25"/>
  <c r="Z77" i="25" s="1"/>
  <c r="W78" i="25"/>
  <c r="T78" i="25"/>
  <c r="S78" i="25"/>
  <c r="S77" i="25" s="1"/>
  <c r="Q78" i="25"/>
  <c r="Q77" i="25" s="1"/>
  <c r="N78" i="25"/>
  <c r="K78" i="25"/>
  <c r="K77" i="25" s="1"/>
  <c r="H78" i="25"/>
  <c r="H77" i="25" s="1"/>
  <c r="E78" i="25"/>
  <c r="E77" i="25" s="1"/>
  <c r="C78" i="25"/>
  <c r="W77" i="25"/>
  <c r="T77" i="25"/>
  <c r="Z58" i="25"/>
  <c r="W58" i="25"/>
  <c r="T58" i="25"/>
  <c r="S58" i="25"/>
  <c r="Q58" i="25"/>
  <c r="N58" i="25"/>
  <c r="H58" i="25"/>
  <c r="C58" i="25"/>
  <c r="Z55" i="25"/>
  <c r="W55" i="25"/>
  <c r="T55" i="25"/>
  <c r="T54" i="25" s="1"/>
  <c r="S55" i="25"/>
  <c r="S54" i="25" s="1"/>
  <c r="Q55" i="25"/>
  <c r="N55" i="25"/>
  <c r="N54" i="25" s="1"/>
  <c r="K55" i="25"/>
  <c r="K54" i="25" s="1"/>
  <c r="H55" i="25"/>
  <c r="H54" i="25" s="1"/>
  <c r="E55" i="25"/>
  <c r="C55" i="25"/>
  <c r="Z54" i="25"/>
  <c r="W54" i="25"/>
  <c r="Q54" i="25"/>
  <c r="E54" i="25"/>
  <c r="Z35" i="25"/>
  <c r="W35" i="25"/>
  <c r="T35" i="25"/>
  <c r="S35" i="25"/>
  <c r="Q35" i="25"/>
  <c r="N35" i="25"/>
  <c r="H35" i="25"/>
  <c r="C35" i="25"/>
  <c r="Z32" i="25"/>
  <c r="Z31" i="25" s="1"/>
  <c r="W32" i="25"/>
  <c r="W31" i="25" s="1"/>
  <c r="T32" i="25"/>
  <c r="S32" i="25"/>
  <c r="Q32" i="25"/>
  <c r="Q31" i="25" s="1"/>
  <c r="N32" i="25"/>
  <c r="N31" i="25" s="1"/>
  <c r="K32" i="25"/>
  <c r="K31" i="25" s="1"/>
  <c r="H32" i="25"/>
  <c r="E32" i="25"/>
  <c r="E31" i="25" s="1"/>
  <c r="C32" i="25"/>
  <c r="T31" i="25"/>
  <c r="S31" i="25"/>
  <c r="Z12" i="25"/>
  <c r="W12" i="25"/>
  <c r="T12" i="25"/>
  <c r="S12" i="25"/>
  <c r="Q12" i="25"/>
  <c r="N12" i="25"/>
  <c r="K12" i="25"/>
  <c r="H12" i="25"/>
  <c r="E12" i="25"/>
  <c r="C12" i="25"/>
  <c r="Z9" i="25"/>
  <c r="W9" i="25"/>
  <c r="W8" i="25" s="1"/>
  <c r="T9" i="25"/>
  <c r="T8" i="25" s="1"/>
  <c r="S9" i="25"/>
  <c r="Q9" i="25"/>
  <c r="N9" i="25"/>
  <c r="N8" i="25" s="1"/>
  <c r="K9" i="25"/>
  <c r="H9" i="25"/>
  <c r="H8" i="25" s="1"/>
  <c r="E9" i="25"/>
  <c r="C9" i="25"/>
  <c r="S8" i="25"/>
  <c r="F113" i="24"/>
  <c r="F112" i="24"/>
  <c r="F107" i="24"/>
  <c r="F104" i="24"/>
  <c r="E113" i="24"/>
  <c r="C113" i="24"/>
  <c r="E112" i="24"/>
  <c r="C112" i="24"/>
  <c r="C111" i="24"/>
  <c r="C110" i="24"/>
  <c r="C109" i="24"/>
  <c r="C108" i="24"/>
  <c r="C107" i="24"/>
  <c r="C106" i="24"/>
  <c r="C105" i="24"/>
  <c r="C104" i="24"/>
  <c r="H103" i="24"/>
  <c r="C103" i="24"/>
  <c r="C102" i="24"/>
  <c r="C101" i="24"/>
  <c r="F90" i="24"/>
  <c r="F89" i="24"/>
  <c r="F84" i="24"/>
  <c r="F81" i="24"/>
  <c r="E90" i="24"/>
  <c r="C90" i="24"/>
  <c r="E89" i="24"/>
  <c r="C89" i="24"/>
  <c r="C88" i="24"/>
  <c r="C87" i="24"/>
  <c r="C86" i="24"/>
  <c r="C85" i="24"/>
  <c r="C84" i="24"/>
  <c r="C83" i="24"/>
  <c r="C82" i="24"/>
  <c r="C81" i="24"/>
  <c r="H80" i="24"/>
  <c r="C80" i="24"/>
  <c r="C79" i="24"/>
  <c r="C78" i="24"/>
  <c r="F67" i="24"/>
  <c r="F66" i="24"/>
  <c r="F61" i="24"/>
  <c r="F58" i="24"/>
  <c r="F44" i="24"/>
  <c r="F43" i="24"/>
  <c r="F38" i="24"/>
  <c r="F35" i="24"/>
  <c r="F21" i="24"/>
  <c r="F20" i="24"/>
  <c r="F15" i="24"/>
  <c r="F12" i="24"/>
  <c r="B19" i="24"/>
  <c r="B18" i="24"/>
  <c r="B17" i="24"/>
  <c r="B16" i="24"/>
  <c r="B15" i="24"/>
  <c r="B14" i="24"/>
  <c r="B13" i="24"/>
  <c r="B12" i="24"/>
  <c r="B11" i="24"/>
  <c r="B10" i="24"/>
  <c r="B9" i="24"/>
  <c r="D10" i="24"/>
  <c r="Q8" i="25" l="1"/>
  <c r="Z8" i="25"/>
  <c r="N100" i="25"/>
  <c r="W100" i="25"/>
  <c r="Q100" i="25"/>
  <c r="H31" i="25"/>
  <c r="N77" i="25"/>
  <c r="G16" i="38"/>
  <c r="D16" i="38"/>
  <c r="J107" i="11"/>
  <c r="E8" i="25"/>
  <c r="K8" i="25"/>
  <c r="K107" i="11" l="1"/>
  <c r="L114" i="24"/>
  <c r="J114" i="24"/>
  <c r="AG113" i="24"/>
  <c r="AG112" i="24"/>
  <c r="L91" i="24"/>
  <c r="J91" i="24"/>
  <c r="AG89" i="24"/>
  <c r="L68" i="24"/>
  <c r="J68" i="24"/>
  <c r="E67" i="24"/>
  <c r="C67" i="24"/>
  <c r="AG67" i="24"/>
  <c r="AG66" i="24"/>
  <c r="C66" i="24"/>
  <c r="E66" i="24"/>
  <c r="C65" i="24"/>
  <c r="C64" i="24"/>
  <c r="C63" i="24"/>
  <c r="C62" i="24"/>
  <c r="C61" i="24"/>
  <c r="C60" i="24"/>
  <c r="C59" i="24"/>
  <c r="C58" i="24"/>
  <c r="H57" i="24"/>
  <c r="C57" i="24"/>
  <c r="C56" i="24"/>
  <c r="C55" i="24"/>
  <c r="L45" i="24"/>
  <c r="J45" i="24"/>
  <c r="C44" i="24"/>
  <c r="E44" i="24"/>
  <c r="E43" i="24"/>
  <c r="C43" i="24"/>
  <c r="AG43" i="24"/>
  <c r="C42" i="24"/>
  <c r="C41" i="24"/>
  <c r="C40" i="24"/>
  <c r="C39" i="24"/>
  <c r="C38" i="24"/>
  <c r="C37" i="24"/>
  <c r="C36" i="24"/>
  <c r="C35" i="24"/>
  <c r="C34" i="24"/>
  <c r="C33" i="24"/>
  <c r="C32" i="24"/>
  <c r="L22" i="24"/>
  <c r="C21" i="24"/>
  <c r="C20" i="24"/>
  <c r="E19" i="24"/>
  <c r="C19" i="24"/>
  <c r="AG19" i="24"/>
  <c r="C18" i="24"/>
  <c r="E18" i="24"/>
  <c r="E17" i="24"/>
  <c r="C17" i="24"/>
  <c r="AG17" i="24"/>
  <c r="C16" i="24"/>
  <c r="E16" i="24"/>
  <c r="E15" i="24"/>
  <c r="C15" i="24"/>
  <c r="AG15" i="24"/>
  <c r="AG14" i="24"/>
  <c r="E14" i="24"/>
  <c r="C14" i="24"/>
  <c r="C13" i="24"/>
  <c r="E13" i="24"/>
  <c r="AG12" i="24"/>
  <c r="E12" i="24"/>
  <c r="C12" i="24"/>
  <c r="AG11" i="24"/>
  <c r="H11" i="24"/>
  <c r="E11" i="24"/>
  <c r="C11" i="24"/>
  <c r="C10" i="24"/>
  <c r="E10" i="24"/>
  <c r="C9" i="24"/>
  <c r="Q217" i="23"/>
  <c r="O217" i="23"/>
  <c r="M217" i="23"/>
  <c r="K217" i="23"/>
  <c r="I217" i="23"/>
  <c r="G217" i="23"/>
  <c r="E217" i="23"/>
  <c r="C217" i="23"/>
  <c r="B216" i="23"/>
  <c r="R215" i="23"/>
  <c r="P215" i="23"/>
  <c r="N215" i="23"/>
  <c r="L215" i="23"/>
  <c r="J215" i="23"/>
  <c r="H215" i="23"/>
  <c r="F215" i="23"/>
  <c r="D215" i="23"/>
  <c r="R214" i="23"/>
  <c r="P214" i="23"/>
  <c r="N214" i="23"/>
  <c r="L214" i="23"/>
  <c r="J214" i="23"/>
  <c r="H214" i="23"/>
  <c r="F214" i="23"/>
  <c r="D214" i="23"/>
  <c r="R213" i="23"/>
  <c r="P213" i="23"/>
  <c r="N213" i="23"/>
  <c r="L213" i="23"/>
  <c r="J213" i="23"/>
  <c r="H213" i="23"/>
  <c r="F213" i="23"/>
  <c r="D213" i="23"/>
  <c r="R212" i="23"/>
  <c r="P212" i="23"/>
  <c r="N212" i="23"/>
  <c r="L212" i="23"/>
  <c r="J212" i="23"/>
  <c r="H212" i="23"/>
  <c r="F212" i="23"/>
  <c r="D212" i="23"/>
  <c r="R211" i="23"/>
  <c r="P211" i="23"/>
  <c r="N211" i="23"/>
  <c r="L211" i="23"/>
  <c r="J211" i="23"/>
  <c r="H211" i="23"/>
  <c r="F211" i="23"/>
  <c r="D211" i="23"/>
  <c r="R210" i="23"/>
  <c r="P210" i="23"/>
  <c r="N210" i="23"/>
  <c r="L210" i="23"/>
  <c r="J210" i="23"/>
  <c r="H210" i="23"/>
  <c r="F210" i="23"/>
  <c r="D210" i="23"/>
  <c r="R209" i="23"/>
  <c r="P209" i="23"/>
  <c r="N209" i="23"/>
  <c r="L209" i="23"/>
  <c r="J209" i="23"/>
  <c r="H209" i="23"/>
  <c r="F209" i="23"/>
  <c r="D209" i="23"/>
  <c r="R208" i="23"/>
  <c r="P208" i="23"/>
  <c r="N208" i="23"/>
  <c r="L208" i="23"/>
  <c r="J208" i="23"/>
  <c r="H208" i="23"/>
  <c r="F208" i="23"/>
  <c r="D208" i="23"/>
  <c r="R207" i="23"/>
  <c r="P207" i="23"/>
  <c r="N207" i="23"/>
  <c r="L207" i="23"/>
  <c r="J207" i="23"/>
  <c r="H207" i="23"/>
  <c r="F207" i="23"/>
  <c r="D207" i="23"/>
  <c r="R206" i="23"/>
  <c r="P206" i="23"/>
  <c r="N206" i="23"/>
  <c r="L206" i="23"/>
  <c r="J206" i="23"/>
  <c r="H206" i="23"/>
  <c r="F206" i="23"/>
  <c r="D206" i="23"/>
  <c r="R205" i="23"/>
  <c r="P205" i="23"/>
  <c r="N205" i="23"/>
  <c r="L205" i="23"/>
  <c r="J205" i="23"/>
  <c r="H205" i="23"/>
  <c r="F205" i="23"/>
  <c r="D205" i="23"/>
  <c r="R204" i="23"/>
  <c r="P204" i="23"/>
  <c r="N204" i="23"/>
  <c r="L204" i="23"/>
  <c r="J204" i="23"/>
  <c r="H204" i="23"/>
  <c r="F204" i="23"/>
  <c r="D204" i="23"/>
  <c r="R203" i="23"/>
  <c r="P203" i="23"/>
  <c r="N203" i="23"/>
  <c r="L203" i="23"/>
  <c r="J203" i="23"/>
  <c r="H203" i="23"/>
  <c r="F203" i="23"/>
  <c r="D203" i="23"/>
  <c r="R202" i="23"/>
  <c r="P202" i="23"/>
  <c r="N202" i="23"/>
  <c r="L202" i="23"/>
  <c r="J202" i="23"/>
  <c r="H202" i="23"/>
  <c r="F202" i="23"/>
  <c r="D202" i="23"/>
  <c r="R201" i="23"/>
  <c r="P201" i="23"/>
  <c r="N201" i="23"/>
  <c r="L201" i="23"/>
  <c r="J201" i="23"/>
  <c r="H201" i="23"/>
  <c r="F201" i="23"/>
  <c r="D201" i="23"/>
  <c r="R200" i="23"/>
  <c r="P200" i="23"/>
  <c r="N200" i="23"/>
  <c r="L200" i="23"/>
  <c r="J200" i="23"/>
  <c r="H200" i="23"/>
  <c r="F200" i="23"/>
  <c r="D200" i="23"/>
  <c r="R199" i="23"/>
  <c r="P199" i="23"/>
  <c r="N199" i="23"/>
  <c r="L199" i="23"/>
  <c r="J199" i="23"/>
  <c r="H199" i="23"/>
  <c r="F199" i="23"/>
  <c r="D199" i="23"/>
  <c r="R198" i="23"/>
  <c r="R216" i="23" s="1"/>
  <c r="P198" i="23"/>
  <c r="P216" i="23" s="1"/>
  <c r="N198" i="23"/>
  <c r="N216" i="23" s="1"/>
  <c r="L198" i="23"/>
  <c r="L216" i="23" s="1"/>
  <c r="J198" i="23"/>
  <c r="J216" i="23" s="1"/>
  <c r="H198" i="23"/>
  <c r="H216" i="23" s="1"/>
  <c r="F198" i="23"/>
  <c r="D198" i="23"/>
  <c r="D216" i="23" s="1"/>
  <c r="M190" i="23" s="1"/>
  <c r="O190" i="23"/>
  <c r="C189" i="23"/>
  <c r="R183" i="23"/>
  <c r="V113" i="24" s="1"/>
  <c r="W113" i="24" s="1"/>
  <c r="R182" i="23"/>
  <c r="T113" i="24" s="1"/>
  <c r="U113" i="24" s="1"/>
  <c r="R181" i="23"/>
  <c r="R113" i="24" s="1"/>
  <c r="R180" i="23"/>
  <c r="O113" i="24" s="1"/>
  <c r="R178" i="23"/>
  <c r="R177" i="23"/>
  <c r="K113" i="24" s="1"/>
  <c r="R176" i="23"/>
  <c r="I113" i="24" s="1"/>
  <c r="G174" i="23"/>
  <c r="F174" i="23"/>
  <c r="R169" i="23"/>
  <c r="V112" i="24" s="1"/>
  <c r="W112" i="24" s="1"/>
  <c r="W114" i="24" s="1"/>
  <c r="R168" i="23"/>
  <c r="T112" i="24" s="1"/>
  <c r="U112" i="24" s="1"/>
  <c r="R167" i="23"/>
  <c r="R112" i="24" s="1"/>
  <c r="S112" i="24" s="1"/>
  <c r="R166" i="23"/>
  <c r="O112" i="24" s="1"/>
  <c r="P112" i="24" s="1"/>
  <c r="R164" i="23"/>
  <c r="R163" i="23"/>
  <c r="K112" i="24" s="1"/>
  <c r="R162" i="23"/>
  <c r="I112" i="24" s="1"/>
  <c r="F160" i="23"/>
  <c r="G160" i="23" s="1"/>
  <c r="R155" i="23"/>
  <c r="V111" i="24" s="1"/>
  <c r="R154" i="23"/>
  <c r="T111" i="24" s="1"/>
  <c r="R153" i="23"/>
  <c r="R111" i="24" s="1"/>
  <c r="R150" i="23"/>
  <c r="R149" i="23"/>
  <c r="K111" i="24" s="1"/>
  <c r="R148" i="23"/>
  <c r="I111" i="24" s="1"/>
  <c r="P147" i="23"/>
  <c r="O147" i="23"/>
  <c r="N147" i="23"/>
  <c r="M147" i="23"/>
  <c r="L147" i="23"/>
  <c r="K147" i="23"/>
  <c r="J147" i="23"/>
  <c r="I147" i="23"/>
  <c r="H147" i="23"/>
  <c r="G147" i="23"/>
  <c r="F147" i="23"/>
  <c r="R141" i="23"/>
  <c r="V109" i="24" s="1"/>
  <c r="R140" i="23"/>
  <c r="T109" i="24" s="1"/>
  <c r="R139" i="23"/>
  <c r="R109" i="24" s="1"/>
  <c r="R136" i="23"/>
  <c r="R135" i="23"/>
  <c r="K109" i="24" s="1"/>
  <c r="R134" i="23"/>
  <c r="I109" i="24" s="1"/>
  <c r="P133" i="23"/>
  <c r="O133" i="23"/>
  <c r="N133" i="23"/>
  <c r="M133" i="23"/>
  <c r="L133" i="23"/>
  <c r="K133" i="23"/>
  <c r="J133" i="23"/>
  <c r="I133" i="23"/>
  <c r="H133" i="23"/>
  <c r="G133" i="23"/>
  <c r="F133" i="23"/>
  <c r="R127" i="23"/>
  <c r="V107" i="24" s="1"/>
  <c r="R126" i="23"/>
  <c r="T107" i="24" s="1"/>
  <c r="R125" i="23"/>
  <c r="R107" i="24" s="1"/>
  <c r="R124" i="23"/>
  <c r="O107" i="24" s="1"/>
  <c r="P107" i="24" s="1"/>
  <c r="R123" i="23"/>
  <c r="M107" i="24" s="1"/>
  <c r="R122" i="23"/>
  <c r="R121" i="23"/>
  <c r="K107" i="24" s="1"/>
  <c r="R120" i="23"/>
  <c r="I107" i="24" s="1"/>
  <c r="P119" i="23"/>
  <c r="O119" i="23"/>
  <c r="N119" i="23"/>
  <c r="M119" i="23"/>
  <c r="L119" i="23"/>
  <c r="K119" i="23"/>
  <c r="J119" i="23"/>
  <c r="I119" i="23"/>
  <c r="H119" i="23"/>
  <c r="G119" i="23"/>
  <c r="F119" i="23"/>
  <c r="R113" i="23"/>
  <c r="V110" i="24" s="1"/>
  <c r="R112" i="23"/>
  <c r="T110" i="24" s="1"/>
  <c r="U110" i="24" s="1"/>
  <c r="U114" i="24" s="1"/>
  <c r="R111" i="23"/>
  <c r="R110" i="24" s="1"/>
  <c r="S110" i="24" s="1"/>
  <c r="R110" i="23"/>
  <c r="O110" i="24" s="1"/>
  <c r="R108" i="23"/>
  <c r="R107" i="23"/>
  <c r="K110" i="24" s="1"/>
  <c r="R106" i="23"/>
  <c r="I110" i="24" s="1"/>
  <c r="P105" i="23"/>
  <c r="O105" i="23"/>
  <c r="N105" i="23"/>
  <c r="M105" i="23"/>
  <c r="L105" i="23"/>
  <c r="K105" i="23"/>
  <c r="J105" i="23"/>
  <c r="I105" i="23"/>
  <c r="H105" i="23"/>
  <c r="G105" i="23"/>
  <c r="F105" i="23"/>
  <c r="R99" i="23"/>
  <c r="V108" i="24" s="1"/>
  <c r="R98" i="23"/>
  <c r="T108" i="24" s="1"/>
  <c r="R97" i="23"/>
  <c r="R108" i="24" s="1"/>
  <c r="S108" i="24" s="1"/>
  <c r="R96" i="23"/>
  <c r="O108" i="24" s="1"/>
  <c r="R94" i="23"/>
  <c r="R93" i="23"/>
  <c r="K108" i="24" s="1"/>
  <c r="R92" i="23"/>
  <c r="I108" i="24" s="1"/>
  <c r="P91" i="23"/>
  <c r="O91" i="23"/>
  <c r="N91" i="23"/>
  <c r="M91" i="23"/>
  <c r="L91" i="23"/>
  <c r="K91" i="23"/>
  <c r="J91" i="23"/>
  <c r="I91" i="23"/>
  <c r="H91" i="23"/>
  <c r="G91" i="23"/>
  <c r="F91" i="23"/>
  <c r="R85" i="23"/>
  <c r="V106" i="24" s="1"/>
  <c r="R84" i="23"/>
  <c r="T106" i="24" s="1"/>
  <c r="R83" i="23"/>
  <c r="R106" i="24" s="1"/>
  <c r="R82" i="23"/>
  <c r="O106" i="24" s="1"/>
  <c r="P106" i="24" s="1"/>
  <c r="R80" i="23"/>
  <c r="R79" i="23"/>
  <c r="K106" i="24" s="1"/>
  <c r="R78" i="23"/>
  <c r="I106" i="24" s="1"/>
  <c r="P77" i="23"/>
  <c r="O77" i="23"/>
  <c r="N77" i="23"/>
  <c r="M77" i="23"/>
  <c r="L77" i="23"/>
  <c r="K77" i="23"/>
  <c r="J77" i="23"/>
  <c r="I77" i="23"/>
  <c r="H77" i="23"/>
  <c r="G77" i="23"/>
  <c r="F77" i="23"/>
  <c r="R71" i="23"/>
  <c r="V105" i="24" s="1"/>
  <c r="R70" i="23"/>
  <c r="T105" i="24" s="1"/>
  <c r="R69" i="23"/>
  <c r="R105" i="24" s="1"/>
  <c r="R68" i="23"/>
  <c r="O105" i="24" s="1"/>
  <c r="R66" i="23"/>
  <c r="R65" i="23"/>
  <c r="K105" i="24" s="1"/>
  <c r="R64" i="23"/>
  <c r="I105" i="24" s="1"/>
  <c r="P63" i="23"/>
  <c r="O63" i="23"/>
  <c r="N63" i="23"/>
  <c r="M63" i="23"/>
  <c r="L63" i="23"/>
  <c r="K63" i="23"/>
  <c r="J63" i="23"/>
  <c r="I63" i="23"/>
  <c r="H63" i="23"/>
  <c r="G63" i="23"/>
  <c r="F63" i="23"/>
  <c r="R57" i="23"/>
  <c r="V104" i="24" s="1"/>
  <c r="R56" i="23"/>
  <c r="T104" i="24" s="1"/>
  <c r="R55" i="23"/>
  <c r="R104" i="24" s="1"/>
  <c r="R53" i="23"/>
  <c r="M104" i="24" s="1"/>
  <c r="R51" i="23"/>
  <c r="K104" i="24" s="1"/>
  <c r="R50" i="23"/>
  <c r="I104" i="24" s="1"/>
  <c r="Q49" i="23"/>
  <c r="P49" i="23"/>
  <c r="O49" i="23"/>
  <c r="N49" i="23"/>
  <c r="M49" i="23"/>
  <c r="L49" i="23"/>
  <c r="K49" i="23"/>
  <c r="F49" i="23"/>
  <c r="R43" i="23"/>
  <c r="V102" i="24" s="1"/>
  <c r="R42" i="23"/>
  <c r="T102" i="24" s="1"/>
  <c r="R41" i="23"/>
  <c r="R102" i="24" s="1"/>
  <c r="R40" i="23"/>
  <c r="O102" i="24" s="1"/>
  <c r="P102" i="24" s="1"/>
  <c r="J49" i="23"/>
  <c r="I49" i="23"/>
  <c r="H49" i="23"/>
  <c r="R39" i="23"/>
  <c r="M102" i="24" s="1"/>
  <c r="N102" i="24" s="1"/>
  <c r="R37" i="23"/>
  <c r="K102" i="24" s="1"/>
  <c r="R36" i="23"/>
  <c r="I102" i="24" s="1"/>
  <c r="Q35" i="23"/>
  <c r="P35" i="23"/>
  <c r="O35" i="23"/>
  <c r="N35" i="23"/>
  <c r="M35" i="23"/>
  <c r="L35" i="23"/>
  <c r="K35" i="23"/>
  <c r="J35" i="23"/>
  <c r="I35" i="23"/>
  <c r="G35" i="23"/>
  <c r="F35" i="23"/>
  <c r="R29" i="23"/>
  <c r="V103" i="24" s="1"/>
  <c r="R28" i="23"/>
  <c r="T103" i="24" s="1"/>
  <c r="R27" i="23"/>
  <c r="R103" i="24" s="1"/>
  <c r="R26" i="23"/>
  <c r="O103" i="24" s="1"/>
  <c r="P103" i="24" s="1"/>
  <c r="R25" i="23"/>
  <c r="M103" i="24" s="1"/>
  <c r="N103" i="24" s="1"/>
  <c r="R24" i="23"/>
  <c r="R23" i="23"/>
  <c r="K103" i="24" s="1"/>
  <c r="R22" i="23"/>
  <c r="I103" i="24" s="1"/>
  <c r="Q21" i="23"/>
  <c r="P21" i="23"/>
  <c r="O21" i="23"/>
  <c r="N21" i="23"/>
  <c r="M21" i="23"/>
  <c r="L21" i="23"/>
  <c r="K21" i="23"/>
  <c r="J21" i="23"/>
  <c r="I21" i="23"/>
  <c r="H21" i="23"/>
  <c r="G21" i="23"/>
  <c r="F21" i="23"/>
  <c r="R15" i="23"/>
  <c r="V101" i="24" s="1"/>
  <c r="V114" i="24" s="1"/>
  <c r="R14" i="23"/>
  <c r="T101" i="24" s="1"/>
  <c r="R13" i="23"/>
  <c r="R101" i="24" s="1"/>
  <c r="R12" i="23"/>
  <c r="O101" i="24" s="1"/>
  <c r="P101" i="24" s="1"/>
  <c r="R11" i="23"/>
  <c r="M101" i="24" s="1"/>
  <c r="R10" i="23"/>
  <c r="R9" i="23"/>
  <c r="K101" i="24" s="1"/>
  <c r="R8" i="23"/>
  <c r="I101" i="24" s="1"/>
  <c r="R7" i="23"/>
  <c r="G101" i="24" s="1"/>
  <c r="R3" i="23"/>
  <c r="Q217" i="22"/>
  <c r="O217" i="22"/>
  <c r="M217" i="22"/>
  <c r="K217" i="22"/>
  <c r="I217" i="22"/>
  <c r="G217" i="22"/>
  <c r="E217" i="22"/>
  <c r="C217" i="22"/>
  <c r="B216" i="22"/>
  <c r="R215" i="22"/>
  <c r="P215" i="22"/>
  <c r="N215" i="22"/>
  <c r="L215" i="22"/>
  <c r="J215" i="22"/>
  <c r="H215" i="22"/>
  <c r="F215" i="22"/>
  <c r="D215" i="22"/>
  <c r="R214" i="22"/>
  <c r="P214" i="22"/>
  <c r="N214" i="22"/>
  <c r="L214" i="22"/>
  <c r="J214" i="22"/>
  <c r="H214" i="22"/>
  <c r="F214" i="22"/>
  <c r="D214" i="22"/>
  <c r="R213" i="22"/>
  <c r="P213" i="22"/>
  <c r="N213" i="22"/>
  <c r="L213" i="22"/>
  <c r="J213" i="22"/>
  <c r="H213" i="22"/>
  <c r="F213" i="22"/>
  <c r="D213" i="22"/>
  <c r="R212" i="22"/>
  <c r="P212" i="22"/>
  <c r="N212" i="22"/>
  <c r="L212" i="22"/>
  <c r="J212" i="22"/>
  <c r="H212" i="22"/>
  <c r="F212" i="22"/>
  <c r="D212" i="22"/>
  <c r="R211" i="22"/>
  <c r="P211" i="22"/>
  <c r="N211" i="22"/>
  <c r="L211" i="22"/>
  <c r="J211" i="22"/>
  <c r="H211" i="22"/>
  <c r="F211" i="22"/>
  <c r="D211" i="22"/>
  <c r="R210" i="22"/>
  <c r="P210" i="22"/>
  <c r="N210" i="22"/>
  <c r="L210" i="22"/>
  <c r="J210" i="22"/>
  <c r="H210" i="22"/>
  <c r="F210" i="22"/>
  <c r="D210" i="22"/>
  <c r="R209" i="22"/>
  <c r="P209" i="22"/>
  <c r="N209" i="22"/>
  <c r="L209" i="22"/>
  <c r="J209" i="22"/>
  <c r="H209" i="22"/>
  <c r="F209" i="22"/>
  <c r="D209" i="22"/>
  <c r="R208" i="22"/>
  <c r="P208" i="22"/>
  <c r="N208" i="22"/>
  <c r="L208" i="22"/>
  <c r="J208" i="22"/>
  <c r="H208" i="22"/>
  <c r="F208" i="22"/>
  <c r="D208" i="22"/>
  <c r="R207" i="22"/>
  <c r="P207" i="22"/>
  <c r="N207" i="22"/>
  <c r="L207" i="22"/>
  <c r="J207" i="22"/>
  <c r="H207" i="22"/>
  <c r="F207" i="22"/>
  <c r="D207" i="22"/>
  <c r="R206" i="22"/>
  <c r="P206" i="22"/>
  <c r="N206" i="22"/>
  <c r="L206" i="22"/>
  <c r="J206" i="22"/>
  <c r="H206" i="22"/>
  <c r="F206" i="22"/>
  <c r="D206" i="22"/>
  <c r="R205" i="22"/>
  <c r="P205" i="22"/>
  <c r="N205" i="22"/>
  <c r="L205" i="22"/>
  <c r="J205" i="22"/>
  <c r="H205" i="22"/>
  <c r="F205" i="22"/>
  <c r="D205" i="22"/>
  <c r="R204" i="22"/>
  <c r="P204" i="22"/>
  <c r="N204" i="22"/>
  <c r="L204" i="22"/>
  <c r="J204" i="22"/>
  <c r="H204" i="22"/>
  <c r="F204" i="22"/>
  <c r="D204" i="22"/>
  <c r="R203" i="22"/>
  <c r="P203" i="22"/>
  <c r="N203" i="22"/>
  <c r="L203" i="22"/>
  <c r="J203" i="22"/>
  <c r="H203" i="22"/>
  <c r="F203" i="22"/>
  <c r="D203" i="22"/>
  <c r="R202" i="22"/>
  <c r="P202" i="22"/>
  <c r="N202" i="22"/>
  <c r="L202" i="22"/>
  <c r="J202" i="22"/>
  <c r="H202" i="22"/>
  <c r="F202" i="22"/>
  <c r="D202" i="22"/>
  <c r="R201" i="22"/>
  <c r="P201" i="22"/>
  <c r="N201" i="22"/>
  <c r="L201" i="22"/>
  <c r="J201" i="22"/>
  <c r="H201" i="22"/>
  <c r="F201" i="22"/>
  <c r="D201" i="22"/>
  <c r="R200" i="22"/>
  <c r="P200" i="22"/>
  <c r="N200" i="22"/>
  <c r="L200" i="22"/>
  <c r="J200" i="22"/>
  <c r="H200" i="22"/>
  <c r="F200" i="22"/>
  <c r="D200" i="22"/>
  <c r="R199" i="22"/>
  <c r="P199" i="22"/>
  <c r="N199" i="22"/>
  <c r="L199" i="22"/>
  <c r="J199" i="22"/>
  <c r="H199" i="22"/>
  <c r="F199" i="22"/>
  <c r="D199" i="22"/>
  <c r="R198" i="22"/>
  <c r="R216" i="22" s="1"/>
  <c r="P198" i="22"/>
  <c r="P216" i="22" s="1"/>
  <c r="N198" i="22"/>
  <c r="N216" i="22" s="1"/>
  <c r="L198" i="22"/>
  <c r="L216" i="22" s="1"/>
  <c r="J198" i="22"/>
  <c r="J216" i="22" s="1"/>
  <c r="H198" i="22"/>
  <c r="H216" i="22" s="1"/>
  <c r="F198" i="22"/>
  <c r="F216" i="22" s="1"/>
  <c r="D198" i="22"/>
  <c r="P190" i="22" s="1"/>
  <c r="P191" i="22"/>
  <c r="O191" i="22"/>
  <c r="C189" i="22"/>
  <c r="R183" i="22"/>
  <c r="V90" i="24" s="1"/>
  <c r="W90" i="24" s="1"/>
  <c r="R182" i="22"/>
  <c r="T90" i="24" s="1"/>
  <c r="U90" i="24" s="1"/>
  <c r="R181" i="22"/>
  <c r="R90" i="24" s="1"/>
  <c r="S90" i="24" s="1"/>
  <c r="R180" i="22"/>
  <c r="O90" i="24" s="1"/>
  <c r="R178" i="22"/>
  <c r="R177" i="22"/>
  <c r="K90" i="24" s="1"/>
  <c r="R176" i="22"/>
  <c r="I90" i="24" s="1"/>
  <c r="F174" i="22"/>
  <c r="R169" i="22"/>
  <c r="V89" i="24" s="1"/>
  <c r="W89" i="24" s="1"/>
  <c r="W91" i="24" s="1"/>
  <c r="R168" i="22"/>
  <c r="T89" i="24" s="1"/>
  <c r="U89" i="24" s="1"/>
  <c r="R167" i="22"/>
  <c r="R89" i="24" s="1"/>
  <c r="S89" i="24" s="1"/>
  <c r="R166" i="22"/>
  <c r="O89" i="24" s="1"/>
  <c r="P89" i="24" s="1"/>
  <c r="R164" i="22"/>
  <c r="R163" i="22"/>
  <c r="K89" i="24" s="1"/>
  <c r="R162" i="22"/>
  <c r="I89" i="24" s="1"/>
  <c r="F160" i="22"/>
  <c r="R155" i="22"/>
  <c r="V88" i="24" s="1"/>
  <c r="R154" i="22"/>
  <c r="T88" i="24" s="1"/>
  <c r="R153" i="22"/>
  <c r="R88" i="24" s="1"/>
  <c r="R150" i="22"/>
  <c r="R149" i="22"/>
  <c r="K88" i="24" s="1"/>
  <c r="R148" i="22"/>
  <c r="I88" i="24" s="1"/>
  <c r="P147" i="22"/>
  <c r="O147" i="22"/>
  <c r="N147" i="22"/>
  <c r="M147" i="22"/>
  <c r="L147" i="22"/>
  <c r="K147" i="22"/>
  <c r="J147" i="22"/>
  <c r="I147" i="22"/>
  <c r="H147" i="22"/>
  <c r="G147" i="22"/>
  <c r="F147" i="22"/>
  <c r="R141" i="22"/>
  <c r="V86" i="24" s="1"/>
  <c r="R140" i="22"/>
  <c r="T86" i="24" s="1"/>
  <c r="R139" i="22"/>
  <c r="R86" i="24" s="1"/>
  <c r="R136" i="22"/>
  <c r="R135" i="22"/>
  <c r="K86" i="24" s="1"/>
  <c r="R134" i="22"/>
  <c r="I86" i="24" s="1"/>
  <c r="P133" i="22"/>
  <c r="O133" i="22"/>
  <c r="N133" i="22"/>
  <c r="M133" i="22"/>
  <c r="L133" i="22"/>
  <c r="K133" i="22"/>
  <c r="J133" i="22"/>
  <c r="I133" i="22"/>
  <c r="H133" i="22"/>
  <c r="G133" i="22"/>
  <c r="F133" i="22"/>
  <c r="R127" i="22"/>
  <c r="V84" i="24" s="1"/>
  <c r="R126" i="22"/>
  <c r="T84" i="24" s="1"/>
  <c r="R125" i="22"/>
  <c r="R84" i="24" s="1"/>
  <c r="R124" i="22"/>
  <c r="O84" i="24" s="1"/>
  <c r="P84" i="24" s="1"/>
  <c r="R123" i="22"/>
  <c r="M84" i="24" s="1"/>
  <c r="R122" i="22"/>
  <c r="R121" i="22"/>
  <c r="K84" i="24" s="1"/>
  <c r="R120" i="22"/>
  <c r="I84" i="24" s="1"/>
  <c r="P119" i="22"/>
  <c r="O119" i="22"/>
  <c r="N119" i="22"/>
  <c r="M119" i="22"/>
  <c r="L119" i="22"/>
  <c r="K119" i="22"/>
  <c r="J119" i="22"/>
  <c r="I119" i="22"/>
  <c r="H119" i="22"/>
  <c r="G119" i="22"/>
  <c r="F119" i="22"/>
  <c r="R113" i="22"/>
  <c r="V87" i="24" s="1"/>
  <c r="R112" i="22"/>
  <c r="T87" i="24" s="1"/>
  <c r="U87" i="24" s="1"/>
  <c r="R111" i="22"/>
  <c r="R87" i="24" s="1"/>
  <c r="S87" i="24" s="1"/>
  <c r="R110" i="22"/>
  <c r="O87" i="24" s="1"/>
  <c r="R108" i="22"/>
  <c r="R107" i="22"/>
  <c r="K87" i="24" s="1"/>
  <c r="R106" i="22"/>
  <c r="I87" i="24" s="1"/>
  <c r="P105" i="22"/>
  <c r="O105" i="22"/>
  <c r="N105" i="22"/>
  <c r="M105" i="22"/>
  <c r="L105" i="22"/>
  <c r="K105" i="22"/>
  <c r="J105" i="22"/>
  <c r="I105" i="22"/>
  <c r="H105" i="22"/>
  <c r="G105" i="22"/>
  <c r="F105" i="22"/>
  <c r="R99" i="22"/>
  <c r="V85" i="24" s="1"/>
  <c r="R98" i="22"/>
  <c r="T85" i="24" s="1"/>
  <c r="R97" i="22"/>
  <c r="R85" i="24" s="1"/>
  <c r="S85" i="24" s="1"/>
  <c r="R96" i="22"/>
  <c r="O85" i="24" s="1"/>
  <c r="R94" i="22"/>
  <c r="R93" i="22"/>
  <c r="K85" i="24" s="1"/>
  <c r="R92" i="22"/>
  <c r="I85" i="24" s="1"/>
  <c r="P91" i="22"/>
  <c r="O91" i="22"/>
  <c r="N91" i="22"/>
  <c r="M91" i="22"/>
  <c r="L91" i="22"/>
  <c r="K91" i="22"/>
  <c r="J91" i="22"/>
  <c r="I91" i="22"/>
  <c r="H91" i="22"/>
  <c r="G91" i="22"/>
  <c r="F91" i="22"/>
  <c r="R85" i="22"/>
  <c r="V83" i="24" s="1"/>
  <c r="R84" i="22"/>
  <c r="T83" i="24" s="1"/>
  <c r="R83" i="22"/>
  <c r="R83" i="24" s="1"/>
  <c r="R82" i="22"/>
  <c r="O83" i="24" s="1"/>
  <c r="P83" i="24" s="1"/>
  <c r="R80" i="22"/>
  <c r="R79" i="22"/>
  <c r="K83" i="24" s="1"/>
  <c r="R78" i="22"/>
  <c r="I83" i="24" s="1"/>
  <c r="P77" i="22"/>
  <c r="O77" i="22"/>
  <c r="N77" i="22"/>
  <c r="M77" i="22"/>
  <c r="L77" i="22"/>
  <c r="K77" i="22"/>
  <c r="J77" i="22"/>
  <c r="I77" i="22"/>
  <c r="H77" i="22"/>
  <c r="G77" i="22"/>
  <c r="F77" i="22"/>
  <c r="R71" i="22"/>
  <c r="V82" i="24" s="1"/>
  <c r="R70" i="22"/>
  <c r="T82" i="24" s="1"/>
  <c r="R69" i="22"/>
  <c r="R82" i="24" s="1"/>
  <c r="R68" i="22"/>
  <c r="O82" i="24" s="1"/>
  <c r="R66" i="22"/>
  <c r="R65" i="22"/>
  <c r="K82" i="24" s="1"/>
  <c r="R64" i="22"/>
  <c r="I82" i="24" s="1"/>
  <c r="P63" i="22"/>
  <c r="O63" i="22"/>
  <c r="N63" i="22"/>
  <c r="M63" i="22"/>
  <c r="L63" i="22"/>
  <c r="K63" i="22"/>
  <c r="J63" i="22"/>
  <c r="I63" i="22"/>
  <c r="H63" i="22"/>
  <c r="G63" i="22"/>
  <c r="F63" i="22"/>
  <c r="R57" i="22"/>
  <c r="V81" i="24" s="1"/>
  <c r="R56" i="22"/>
  <c r="T81" i="24" s="1"/>
  <c r="R55" i="22"/>
  <c r="R81" i="24" s="1"/>
  <c r="R53" i="22"/>
  <c r="M81" i="24" s="1"/>
  <c r="R51" i="22"/>
  <c r="K81" i="24" s="1"/>
  <c r="R50" i="22"/>
  <c r="I81" i="24" s="1"/>
  <c r="Q49" i="22"/>
  <c r="P49" i="22"/>
  <c r="O49" i="22"/>
  <c r="N49" i="22"/>
  <c r="M49" i="22"/>
  <c r="L49" i="22"/>
  <c r="K49" i="22"/>
  <c r="J49" i="22"/>
  <c r="I49" i="22"/>
  <c r="H49" i="22"/>
  <c r="G49" i="22"/>
  <c r="F49" i="22"/>
  <c r="R49" i="22" s="1"/>
  <c r="G81" i="24" s="1"/>
  <c r="R43" i="22"/>
  <c r="V79" i="24" s="1"/>
  <c r="R42" i="22"/>
  <c r="T79" i="24" s="1"/>
  <c r="R41" i="22"/>
  <c r="R79" i="24" s="1"/>
  <c r="R40" i="22"/>
  <c r="O79" i="24" s="1"/>
  <c r="P79" i="24" s="1"/>
  <c r="R39" i="22"/>
  <c r="M79" i="24" s="1"/>
  <c r="N79" i="24" s="1"/>
  <c r="R37" i="22"/>
  <c r="K79" i="24" s="1"/>
  <c r="R36" i="22"/>
  <c r="I79" i="24" s="1"/>
  <c r="Q35" i="22"/>
  <c r="P35" i="22"/>
  <c r="O35" i="22"/>
  <c r="N35" i="22"/>
  <c r="M35" i="22"/>
  <c r="L35" i="22"/>
  <c r="K35" i="22"/>
  <c r="J35" i="22"/>
  <c r="I35" i="22"/>
  <c r="G35" i="22"/>
  <c r="F35" i="22"/>
  <c r="R29" i="22"/>
  <c r="V80" i="24" s="1"/>
  <c r="R28" i="22"/>
  <c r="T80" i="24" s="1"/>
  <c r="R27" i="22"/>
  <c r="R80" i="24" s="1"/>
  <c r="R26" i="22"/>
  <c r="O80" i="24" s="1"/>
  <c r="P80" i="24" s="1"/>
  <c r="R25" i="22"/>
  <c r="M80" i="24" s="1"/>
  <c r="N80" i="24" s="1"/>
  <c r="R24" i="22"/>
  <c r="R23" i="22"/>
  <c r="K80" i="24" s="1"/>
  <c r="R22" i="22"/>
  <c r="I80" i="24" s="1"/>
  <c r="Q21" i="22"/>
  <c r="P21" i="22"/>
  <c r="O21" i="22"/>
  <c r="N21" i="22"/>
  <c r="M21" i="22"/>
  <c r="L21" i="22"/>
  <c r="K21" i="22"/>
  <c r="J21" i="22"/>
  <c r="I21" i="22"/>
  <c r="H21" i="22"/>
  <c r="G21" i="22"/>
  <c r="F21" i="22"/>
  <c r="R15" i="22"/>
  <c r="V78" i="24" s="1"/>
  <c r="V91" i="24" s="1"/>
  <c r="R14" i="22"/>
  <c r="T78" i="24" s="1"/>
  <c r="T91" i="24" s="1"/>
  <c r="R13" i="22"/>
  <c r="R78" i="24" s="1"/>
  <c r="R12" i="22"/>
  <c r="O78" i="24" s="1"/>
  <c r="P78" i="24" s="1"/>
  <c r="R11" i="22"/>
  <c r="M78" i="24" s="1"/>
  <c r="R10" i="22"/>
  <c r="R9" i="22"/>
  <c r="K78" i="24" s="1"/>
  <c r="K91" i="24" s="1"/>
  <c r="R8" i="22"/>
  <c r="I78" i="24" s="1"/>
  <c r="R7" i="22"/>
  <c r="G78" i="24" s="1"/>
  <c r="R3" i="22"/>
  <c r="V67" i="24"/>
  <c r="W67" i="24" s="1"/>
  <c r="T67" i="24"/>
  <c r="R67" i="24"/>
  <c r="S67" i="24" s="1"/>
  <c r="O67" i="24"/>
  <c r="Q67" i="24" s="1"/>
  <c r="K67" i="24"/>
  <c r="I67" i="24"/>
  <c r="V66" i="24"/>
  <c r="W66" i="24" s="1"/>
  <c r="T66" i="24"/>
  <c r="U66" i="24" s="1"/>
  <c r="R66" i="24"/>
  <c r="S66" i="24" s="1"/>
  <c r="O66" i="24"/>
  <c r="P66" i="24" s="1"/>
  <c r="K66" i="24"/>
  <c r="I66" i="24"/>
  <c r="V65" i="24"/>
  <c r="T65" i="24"/>
  <c r="R65" i="24"/>
  <c r="K65" i="24"/>
  <c r="I65" i="24"/>
  <c r="V63" i="24"/>
  <c r="T63" i="24"/>
  <c r="R63" i="24"/>
  <c r="K63" i="24"/>
  <c r="I63" i="24"/>
  <c r="V61" i="24"/>
  <c r="T61" i="24"/>
  <c r="R61" i="24"/>
  <c r="M61" i="24"/>
  <c r="K61" i="24"/>
  <c r="I61" i="24"/>
  <c r="V64" i="24"/>
  <c r="T64" i="24"/>
  <c r="U64" i="24" s="1"/>
  <c r="R64" i="24"/>
  <c r="S64" i="24" s="1"/>
  <c r="O64" i="24"/>
  <c r="P64" i="24" s="1"/>
  <c r="K64" i="24"/>
  <c r="I64" i="24"/>
  <c r="V62" i="24"/>
  <c r="T62" i="24"/>
  <c r="R62" i="24"/>
  <c r="S62" i="24" s="1"/>
  <c r="O62" i="24"/>
  <c r="P62" i="24" s="1"/>
  <c r="K62" i="24"/>
  <c r="I62" i="24"/>
  <c r="V60" i="24"/>
  <c r="T60" i="24"/>
  <c r="R60" i="24"/>
  <c r="O60" i="24"/>
  <c r="P60" i="24" s="1"/>
  <c r="K60" i="24"/>
  <c r="I60" i="24"/>
  <c r="V59" i="24"/>
  <c r="T59" i="24"/>
  <c r="R59" i="24"/>
  <c r="O59" i="24"/>
  <c r="P59" i="24" s="1"/>
  <c r="K59" i="24"/>
  <c r="I59" i="24"/>
  <c r="V58" i="24"/>
  <c r="T58" i="24"/>
  <c r="R58" i="24"/>
  <c r="O58" i="24"/>
  <c r="Q58" i="24" s="1"/>
  <c r="M58" i="24"/>
  <c r="K58" i="24"/>
  <c r="I58" i="24"/>
  <c r="V56" i="24"/>
  <c r="T56" i="24"/>
  <c r="R56" i="24"/>
  <c r="O56" i="24"/>
  <c r="P56" i="24" s="1"/>
  <c r="M56" i="24"/>
  <c r="N56" i="24" s="1"/>
  <c r="K56" i="24"/>
  <c r="I56" i="24"/>
  <c r="V57" i="24"/>
  <c r="T57" i="24"/>
  <c r="R57" i="24"/>
  <c r="O57" i="24"/>
  <c r="P57" i="24" s="1"/>
  <c r="M57" i="24"/>
  <c r="N57" i="24" s="1"/>
  <c r="K57" i="24"/>
  <c r="I57" i="24"/>
  <c r="G57" i="24"/>
  <c r="V55" i="24"/>
  <c r="V68" i="24" s="1"/>
  <c r="T55" i="24"/>
  <c r="R55" i="24"/>
  <c r="O55" i="24"/>
  <c r="M55" i="24"/>
  <c r="K55" i="24"/>
  <c r="I55" i="24"/>
  <c r="G55" i="24"/>
  <c r="V44" i="24"/>
  <c r="W44" i="24" s="1"/>
  <c r="T44" i="24"/>
  <c r="U44" i="24" s="1"/>
  <c r="R44" i="24"/>
  <c r="S44" i="24" s="1"/>
  <c r="O44" i="24"/>
  <c r="Q44" i="24" s="1"/>
  <c r="K44" i="24"/>
  <c r="I44" i="24"/>
  <c r="V43" i="24"/>
  <c r="W43" i="24" s="1"/>
  <c r="T43" i="24"/>
  <c r="U43" i="24" s="1"/>
  <c r="R43" i="24"/>
  <c r="S43" i="24" s="1"/>
  <c r="O43" i="24"/>
  <c r="P43" i="24" s="1"/>
  <c r="K43" i="24"/>
  <c r="I43" i="24"/>
  <c r="V42" i="24"/>
  <c r="T42" i="24"/>
  <c r="R42" i="24"/>
  <c r="K42" i="24"/>
  <c r="I42" i="24"/>
  <c r="V40" i="24"/>
  <c r="T40" i="24"/>
  <c r="R40" i="24"/>
  <c r="M40" i="24"/>
  <c r="N40" i="24" s="1"/>
  <c r="H38" i="24" s="1"/>
  <c r="K40" i="24"/>
  <c r="I40" i="24"/>
  <c r="V38" i="24"/>
  <c r="T38" i="24"/>
  <c r="R38" i="24"/>
  <c r="O38" i="24"/>
  <c r="P38" i="24" s="1"/>
  <c r="K38" i="24"/>
  <c r="I38" i="24"/>
  <c r="G38" i="24"/>
  <c r="V41" i="24"/>
  <c r="T41" i="24"/>
  <c r="R41" i="24"/>
  <c r="S41" i="24" s="1"/>
  <c r="O41" i="24"/>
  <c r="P41" i="24" s="1"/>
  <c r="K41" i="24"/>
  <c r="I41" i="24"/>
  <c r="V39" i="24"/>
  <c r="T39" i="24"/>
  <c r="R39" i="24"/>
  <c r="O39" i="24"/>
  <c r="P39" i="24" s="1"/>
  <c r="K39" i="24"/>
  <c r="I39" i="24"/>
  <c r="V37" i="24"/>
  <c r="T37" i="24"/>
  <c r="R37" i="24"/>
  <c r="O37" i="24"/>
  <c r="P37" i="24" s="1"/>
  <c r="K37" i="24"/>
  <c r="I37" i="24"/>
  <c r="V36" i="24"/>
  <c r="T36" i="24"/>
  <c r="R36" i="24"/>
  <c r="O36" i="24"/>
  <c r="Q36" i="24" s="1"/>
  <c r="K36" i="24"/>
  <c r="I36" i="24"/>
  <c r="V35" i="24"/>
  <c r="T35" i="24"/>
  <c r="R35" i="24"/>
  <c r="O35" i="24"/>
  <c r="P35" i="24" s="1"/>
  <c r="M35" i="24"/>
  <c r="K35" i="24"/>
  <c r="I35" i="24"/>
  <c r="V33" i="24"/>
  <c r="T33" i="24"/>
  <c r="R33" i="24"/>
  <c r="O33" i="24"/>
  <c r="P33" i="24" s="1"/>
  <c r="M33" i="24"/>
  <c r="N33" i="24" s="1"/>
  <c r="K33" i="24"/>
  <c r="I33" i="24"/>
  <c r="V34" i="24"/>
  <c r="T34" i="24"/>
  <c r="R34" i="24"/>
  <c r="O34" i="24"/>
  <c r="P34" i="24" s="1"/>
  <c r="M34" i="24"/>
  <c r="N34" i="24" s="1"/>
  <c r="K34" i="24"/>
  <c r="I34" i="24"/>
  <c r="V32" i="24"/>
  <c r="V45" i="24" s="1"/>
  <c r="T32" i="24"/>
  <c r="R32" i="24"/>
  <c r="O32" i="24"/>
  <c r="P32" i="24" s="1"/>
  <c r="M32" i="24"/>
  <c r="N32" i="24" s="1"/>
  <c r="K32" i="24"/>
  <c r="K45" i="24" s="1"/>
  <c r="I32" i="24"/>
  <c r="I45" i="24" s="1"/>
  <c r="V21" i="24"/>
  <c r="W21" i="24" s="1"/>
  <c r="T21" i="24"/>
  <c r="U21" i="24" s="1"/>
  <c r="R21" i="24"/>
  <c r="S21" i="24" s="1"/>
  <c r="O21" i="24"/>
  <c r="Q21" i="24" s="1"/>
  <c r="K21" i="24"/>
  <c r="I21" i="24"/>
  <c r="J21" i="24" s="1"/>
  <c r="V20" i="24"/>
  <c r="W20" i="24" s="1"/>
  <c r="T20" i="24"/>
  <c r="U20" i="24" s="1"/>
  <c r="R20" i="24"/>
  <c r="S20" i="24" s="1"/>
  <c r="O20" i="24"/>
  <c r="P20" i="24" s="1"/>
  <c r="K20" i="24"/>
  <c r="I20" i="24"/>
  <c r="J20" i="24" s="1"/>
  <c r="V19" i="24"/>
  <c r="T19" i="24"/>
  <c r="R19" i="24"/>
  <c r="O19" i="24"/>
  <c r="P19" i="24" s="1"/>
  <c r="K19" i="24"/>
  <c r="I19" i="24"/>
  <c r="F19" i="24"/>
  <c r="D19" i="24"/>
  <c r="V17" i="24"/>
  <c r="T17" i="24"/>
  <c r="R17" i="24"/>
  <c r="K17" i="24"/>
  <c r="I17" i="24"/>
  <c r="F17" i="24"/>
  <c r="D17" i="24"/>
  <c r="V15" i="24"/>
  <c r="T15" i="24"/>
  <c r="R15" i="24"/>
  <c r="O15" i="24"/>
  <c r="P15" i="24" s="1"/>
  <c r="M15" i="24"/>
  <c r="K15" i="24"/>
  <c r="I15" i="24"/>
  <c r="D15" i="24"/>
  <c r="V18" i="24"/>
  <c r="T18" i="24"/>
  <c r="R18" i="24"/>
  <c r="O18" i="24"/>
  <c r="P18" i="24" s="1"/>
  <c r="K18" i="24"/>
  <c r="I18" i="24"/>
  <c r="F18" i="24"/>
  <c r="D18" i="24"/>
  <c r="V16" i="24"/>
  <c r="T16" i="24"/>
  <c r="R16" i="24"/>
  <c r="O16" i="24"/>
  <c r="P16" i="24" s="1"/>
  <c r="K16" i="24"/>
  <c r="I16" i="24"/>
  <c r="F16" i="24"/>
  <c r="D16" i="24"/>
  <c r="V14" i="24"/>
  <c r="T14" i="24"/>
  <c r="R14" i="24"/>
  <c r="O14" i="24"/>
  <c r="P14" i="24" s="1"/>
  <c r="K14" i="24"/>
  <c r="I14" i="24"/>
  <c r="F14" i="24"/>
  <c r="D14" i="24"/>
  <c r="V13" i="24"/>
  <c r="T13" i="24"/>
  <c r="R13" i="24"/>
  <c r="O13" i="24"/>
  <c r="P13" i="24" s="1"/>
  <c r="K13" i="24"/>
  <c r="I13" i="24"/>
  <c r="F13" i="24"/>
  <c r="D13" i="24"/>
  <c r="V12" i="24"/>
  <c r="T12" i="24"/>
  <c r="R12" i="24"/>
  <c r="O12" i="24"/>
  <c r="Q12" i="24" s="1"/>
  <c r="M12" i="24"/>
  <c r="K12" i="24"/>
  <c r="I12" i="24"/>
  <c r="G12" i="24"/>
  <c r="D12" i="24"/>
  <c r="V10" i="24"/>
  <c r="T10" i="24"/>
  <c r="R10" i="24"/>
  <c r="O10" i="24"/>
  <c r="P10" i="24" s="1"/>
  <c r="M10" i="24"/>
  <c r="N10" i="24" s="1"/>
  <c r="K10" i="24"/>
  <c r="I10" i="24"/>
  <c r="J10" i="24" s="1"/>
  <c r="F10" i="24"/>
  <c r="V11" i="24"/>
  <c r="T11" i="24"/>
  <c r="R11" i="24"/>
  <c r="O11" i="24"/>
  <c r="P11" i="24" s="1"/>
  <c r="M11" i="24"/>
  <c r="N11" i="24" s="1"/>
  <c r="K11" i="24"/>
  <c r="I11" i="24"/>
  <c r="F11" i="24"/>
  <c r="D11" i="24"/>
  <c r="V9" i="24"/>
  <c r="V22" i="24" s="1"/>
  <c r="T9" i="24"/>
  <c r="T22" i="24" s="1"/>
  <c r="R9" i="24"/>
  <c r="O9" i="24"/>
  <c r="P9" i="24" s="1"/>
  <c r="M9" i="24"/>
  <c r="K9" i="24"/>
  <c r="K22" i="24" s="1"/>
  <c r="I9" i="24"/>
  <c r="G9" i="24"/>
  <c r="G191" i="22" l="1"/>
  <c r="M191" i="22"/>
  <c r="K191" i="22"/>
  <c r="I191" i="22"/>
  <c r="F9" i="24"/>
  <c r="G11" i="24"/>
  <c r="G34" i="24"/>
  <c r="P110" i="24"/>
  <c r="Q110" i="24"/>
  <c r="P12" i="24"/>
  <c r="Q18" i="24"/>
  <c r="P44" i="24"/>
  <c r="P58" i="24"/>
  <c r="Q62" i="24"/>
  <c r="P67" i="24"/>
  <c r="F22" i="24"/>
  <c r="G35" i="24"/>
  <c r="R21" i="22"/>
  <c r="G80" i="24" s="1"/>
  <c r="Q87" i="24"/>
  <c r="P87" i="24"/>
  <c r="R21" i="23"/>
  <c r="G103" i="24" s="1"/>
  <c r="P190" i="23"/>
  <c r="Q13" i="24"/>
  <c r="Q16" i="24"/>
  <c r="Q39" i="24"/>
  <c r="D9" i="24"/>
  <c r="D22" i="24" s="1"/>
  <c r="I22" i="24"/>
  <c r="G58" i="24"/>
  <c r="H81" i="24"/>
  <c r="Q90" i="24"/>
  <c r="P90" i="24"/>
  <c r="H104" i="24"/>
  <c r="P105" i="24"/>
  <c r="Q105" i="24"/>
  <c r="P108" i="24"/>
  <c r="Q108" i="24"/>
  <c r="P113" i="24"/>
  <c r="Q113" i="24"/>
  <c r="P21" i="24"/>
  <c r="P36" i="24"/>
  <c r="Q41" i="24"/>
  <c r="Q59" i="24"/>
  <c r="T68" i="24"/>
  <c r="Q82" i="24"/>
  <c r="P82" i="24"/>
  <c r="P85" i="24"/>
  <c r="Q85" i="24"/>
  <c r="S91" i="24"/>
  <c r="M107" i="11"/>
  <c r="L107" i="11"/>
  <c r="R91" i="24"/>
  <c r="R68" i="24"/>
  <c r="U67" i="24"/>
  <c r="R45" i="24"/>
  <c r="R22" i="24"/>
  <c r="S22" i="24"/>
  <c r="C22" i="24"/>
  <c r="C68" i="24"/>
  <c r="S68" i="24"/>
  <c r="S113" i="24"/>
  <c r="H12" i="24"/>
  <c r="H35" i="24"/>
  <c r="S45" i="24"/>
  <c r="U68" i="24"/>
  <c r="W68" i="24"/>
  <c r="R114" i="24"/>
  <c r="F34" i="24"/>
  <c r="B34" i="24"/>
  <c r="E34" i="24" s="1"/>
  <c r="D34" i="24"/>
  <c r="C45" i="24"/>
  <c r="W45" i="24"/>
  <c r="U45" i="24"/>
  <c r="J22" i="24"/>
  <c r="W22" i="24"/>
  <c r="G49" i="23"/>
  <c r="F184" i="23"/>
  <c r="AG18" i="24"/>
  <c r="B22" i="24"/>
  <c r="E22" i="24" s="1"/>
  <c r="AG44" i="24"/>
  <c r="AG9" i="24"/>
  <c r="E9" i="24"/>
  <c r="AG10" i="24"/>
  <c r="AG13" i="24"/>
  <c r="AG16" i="24"/>
  <c r="Q19" i="24"/>
  <c r="AG20" i="24"/>
  <c r="E20" i="24"/>
  <c r="U22" i="24"/>
  <c r="AG21" i="24"/>
  <c r="E21" i="24"/>
  <c r="T45" i="24"/>
  <c r="Q35" i="24"/>
  <c r="K68" i="24"/>
  <c r="P55" i="24"/>
  <c r="H58" i="24"/>
  <c r="Q64" i="24"/>
  <c r="I68" i="24"/>
  <c r="C91" i="24"/>
  <c r="I91" i="24"/>
  <c r="U91" i="24"/>
  <c r="AG90" i="24"/>
  <c r="I114" i="24"/>
  <c r="T114" i="24"/>
  <c r="C114" i="24"/>
  <c r="K114" i="24"/>
  <c r="S114" i="24"/>
  <c r="R49" i="23"/>
  <c r="G104" i="24" s="1"/>
  <c r="F185" i="23"/>
  <c r="F216" i="23"/>
  <c r="O191" i="23"/>
  <c r="P191" i="23"/>
  <c r="N190" i="23"/>
  <c r="L190" i="23"/>
  <c r="J190" i="23"/>
  <c r="F190" i="23"/>
  <c r="K190" i="23"/>
  <c r="G190" i="23"/>
  <c r="H160" i="23"/>
  <c r="G170" i="23" s="1"/>
  <c r="G171" i="23" s="1"/>
  <c r="F170" i="23"/>
  <c r="H174" i="23"/>
  <c r="I190" i="23"/>
  <c r="N191" i="22"/>
  <c r="L191" i="22"/>
  <c r="J191" i="22"/>
  <c r="F191" i="22"/>
  <c r="G160" i="22"/>
  <c r="F170" i="22" s="1"/>
  <c r="G174" i="22"/>
  <c r="F184" i="22" s="1"/>
  <c r="D216" i="22"/>
  <c r="O190" i="22"/>
  <c r="AH8" i="24" l="1"/>
  <c r="AH12" i="24"/>
  <c r="M13" i="24"/>
  <c r="N13" i="24" s="1"/>
  <c r="H10" i="24" s="1"/>
  <c r="G10" i="24"/>
  <c r="AG34" i="24"/>
  <c r="AB22" i="24"/>
  <c r="AG22" i="24"/>
  <c r="F171" i="23"/>
  <c r="G184" i="23"/>
  <c r="M191" i="23"/>
  <c r="K191" i="23"/>
  <c r="I191" i="23"/>
  <c r="G191" i="23"/>
  <c r="L191" i="23"/>
  <c r="N191" i="23"/>
  <c r="F191" i="23"/>
  <c r="J191" i="23"/>
  <c r="M190" i="22"/>
  <c r="K190" i="22"/>
  <c r="I190" i="22"/>
  <c r="G190" i="22"/>
  <c r="N190" i="22"/>
  <c r="J190" i="22"/>
  <c r="F190" i="22"/>
  <c r="L190" i="22"/>
  <c r="F185" i="22"/>
  <c r="F171" i="22"/>
  <c r="H174" i="22"/>
  <c r="G184" i="22" s="1"/>
  <c r="H160" i="22"/>
  <c r="G170" i="22" s="1"/>
  <c r="E14" i="38" l="1"/>
  <c r="F14" i="38" s="1"/>
  <c r="G20" i="24"/>
  <c r="G185" i="23"/>
  <c r="G185" i="22"/>
  <c r="G171" i="22"/>
  <c r="E17" i="38" l="1"/>
  <c r="F17" i="38" s="1"/>
  <c r="E11" i="38"/>
  <c r="F11" i="38" s="1"/>
  <c r="E8" i="38"/>
  <c r="F8" i="38" s="1"/>
  <c r="H20" i="24"/>
  <c r="G21" i="24"/>
  <c r="F11" i="30" l="1"/>
  <c r="H11" i="38"/>
  <c r="E11" i="30"/>
  <c r="H8" i="38"/>
  <c r="H21" i="24"/>
  <c r="O17" i="24" l="1"/>
  <c r="Q17" i="24" l="1"/>
  <c r="Q22" i="24" s="1"/>
  <c r="P17" i="24"/>
  <c r="O22" i="24"/>
  <c r="R152" i="23"/>
  <c r="O111" i="24" s="1"/>
  <c r="R152" i="22"/>
  <c r="O88" i="24" s="1"/>
  <c r="O65" i="24"/>
  <c r="Q65" i="24" s="1"/>
  <c r="P65" i="24" s="1"/>
  <c r="O42" i="24"/>
  <c r="Q88" i="24" l="1"/>
  <c r="P88" i="24"/>
  <c r="P111" i="24"/>
  <c r="Q111" i="24"/>
  <c r="P22" i="24"/>
  <c r="Q42" i="24"/>
  <c r="M19" i="24" l="1"/>
  <c r="N19" i="24" s="1"/>
  <c r="H17" i="24" s="1"/>
  <c r="M21" i="24"/>
  <c r="N21" i="24" s="1"/>
  <c r="H19" i="24" s="1"/>
  <c r="P42" i="24"/>
  <c r="M16" i="24"/>
  <c r="N16" i="24" s="1"/>
  <c r="H14" i="24" s="1"/>
  <c r="X11" i="24"/>
  <c r="M17" i="24"/>
  <c r="N17" i="24" s="1"/>
  <c r="H15" i="24" s="1"/>
  <c r="G15" i="24"/>
  <c r="B57" i="24" l="1"/>
  <c r="F57" i="24"/>
  <c r="X9" i="24"/>
  <c r="Y11" i="24"/>
  <c r="AC11" i="24" s="1"/>
  <c r="Z11" i="24"/>
  <c r="X12" i="24"/>
  <c r="G17" i="24"/>
  <c r="G14" i="24"/>
  <c r="X20" i="24"/>
  <c r="B42" i="24"/>
  <c r="X10" i="24"/>
  <c r="X21" i="24"/>
  <c r="G19" i="24"/>
  <c r="X34" i="24"/>
  <c r="AD9" i="24"/>
  <c r="M18" i="24"/>
  <c r="N18" i="24" s="1"/>
  <c r="H16" i="24" s="1"/>
  <c r="M20" i="24"/>
  <c r="M14" i="24"/>
  <c r="N14" i="24" s="1"/>
  <c r="H13" i="24" s="1"/>
  <c r="Y12" i="24" l="1"/>
  <c r="AC12" i="24" s="1"/>
  <c r="Z12" i="24"/>
  <c r="AD12" i="24"/>
  <c r="D35" i="24"/>
  <c r="B35" i="24"/>
  <c r="Y9" i="24"/>
  <c r="AC9" i="24" s="1"/>
  <c r="Z9" i="24"/>
  <c r="AA9" i="24"/>
  <c r="B10" i="25" s="1"/>
  <c r="AB9" i="24"/>
  <c r="B32" i="24"/>
  <c r="AG57" i="24"/>
  <c r="E57" i="24"/>
  <c r="AD11" i="24"/>
  <c r="X17" i="24"/>
  <c r="Y17" i="24" s="1"/>
  <c r="AC17" i="24" s="1"/>
  <c r="B40" i="24"/>
  <c r="F40" i="24"/>
  <c r="D40" i="24"/>
  <c r="X15" i="24"/>
  <c r="B37" i="24"/>
  <c r="D37" i="24"/>
  <c r="F37" i="24"/>
  <c r="X14" i="24"/>
  <c r="Y14" i="24" s="1"/>
  <c r="AD21" i="24"/>
  <c r="AA21" i="24" s="1"/>
  <c r="B23" i="25" s="1"/>
  <c r="AD10" i="24"/>
  <c r="N20" i="24"/>
  <c r="M22" i="24"/>
  <c r="AD20" i="24"/>
  <c r="AA20" i="24" s="1"/>
  <c r="B22" i="25" s="1"/>
  <c r="X19" i="24"/>
  <c r="Y21" i="24"/>
  <c r="AC21" i="24" s="1"/>
  <c r="Z21" i="24"/>
  <c r="D33" i="24"/>
  <c r="B33" i="24"/>
  <c r="AG42" i="24"/>
  <c r="Z20" i="24"/>
  <c r="Y20" i="24"/>
  <c r="AC20" i="24" s="1"/>
  <c r="Y10" i="24"/>
  <c r="Z10" i="24"/>
  <c r="F42" i="24"/>
  <c r="D42" i="24"/>
  <c r="E42" i="24" s="1"/>
  <c r="Z34" i="24"/>
  <c r="Y34" i="24"/>
  <c r="X13" i="24"/>
  <c r="Y13" i="24" s="1"/>
  <c r="AB12" i="24" l="1"/>
  <c r="AA12" i="24"/>
  <c r="B14" i="25" s="1"/>
  <c r="AD34" i="24"/>
  <c r="AB11" i="24"/>
  <c r="AA11" i="24"/>
  <c r="B13" i="25" s="1"/>
  <c r="D32" i="24"/>
  <c r="F32" i="24"/>
  <c r="F10" i="25"/>
  <c r="X10" i="25"/>
  <c r="Y10" i="25" s="1"/>
  <c r="L10" i="25"/>
  <c r="M10" i="25" s="1"/>
  <c r="O10" i="25"/>
  <c r="P10" i="25" s="1"/>
  <c r="U10" i="25"/>
  <c r="V10" i="25" s="1"/>
  <c r="R10" i="25"/>
  <c r="R9" i="25" s="1"/>
  <c r="AG35" i="24"/>
  <c r="E35" i="24"/>
  <c r="Z17" i="24"/>
  <c r="AG32" i="24"/>
  <c r="E32" i="24"/>
  <c r="E40" i="24"/>
  <c r="AG40" i="24"/>
  <c r="AD15" i="24"/>
  <c r="Y15" i="24"/>
  <c r="AC15" i="24" s="1"/>
  <c r="Z15" i="24"/>
  <c r="B38" i="24"/>
  <c r="D38" i="24"/>
  <c r="G16" i="24"/>
  <c r="X16" i="24"/>
  <c r="Y16" i="24" s="1"/>
  <c r="E37" i="24"/>
  <c r="AG37" i="24"/>
  <c r="AD14" i="24"/>
  <c r="AA14" i="24" s="1"/>
  <c r="B16" i="25" s="1"/>
  <c r="G13" i="24"/>
  <c r="Z14" i="24"/>
  <c r="AC14" i="24"/>
  <c r="Z13" i="24"/>
  <c r="AC13" i="24"/>
  <c r="AB20" i="24"/>
  <c r="AB21" i="24"/>
  <c r="AA10" i="24"/>
  <c r="R23" i="25"/>
  <c r="U23" i="25"/>
  <c r="V23" i="25" s="1"/>
  <c r="L23" i="25"/>
  <c r="M23" i="25" s="1"/>
  <c r="O23" i="25"/>
  <c r="P23" i="25" s="1"/>
  <c r="F23" i="25"/>
  <c r="I23" i="25"/>
  <c r="J23" i="25" s="1"/>
  <c r="X23" i="25"/>
  <c r="Y23" i="25" s="1"/>
  <c r="X18" i="24"/>
  <c r="G18" i="24"/>
  <c r="AC10" i="24"/>
  <c r="AB10" i="24" s="1"/>
  <c r="AG33" i="24"/>
  <c r="E33" i="24"/>
  <c r="Y19" i="24"/>
  <c r="AC19" i="24" s="1"/>
  <c r="I22" i="25"/>
  <c r="J22" i="25" s="1"/>
  <c r="O22" i="25"/>
  <c r="P22" i="25" s="1"/>
  <c r="U22" i="25"/>
  <c r="V22" i="25" s="1"/>
  <c r="R22" i="25"/>
  <c r="X22" i="25"/>
  <c r="Y22" i="25" s="1"/>
  <c r="L22" i="25"/>
  <c r="M22" i="25" s="1"/>
  <c r="F22" i="25"/>
  <c r="H18" i="24"/>
  <c r="H22" i="24" s="1"/>
  <c r="N22" i="24"/>
  <c r="AA34" i="24"/>
  <c r="B36" i="25" s="1"/>
  <c r="AB34" i="24"/>
  <c r="D57" i="24"/>
  <c r="AB14" i="24" l="1"/>
  <c r="F14" i="25"/>
  <c r="O14" i="25"/>
  <c r="P14" i="25" s="1"/>
  <c r="L14" i="25"/>
  <c r="M14" i="25" s="1"/>
  <c r="X14" i="25"/>
  <c r="Y14" i="25" s="1"/>
  <c r="U14" i="25"/>
  <c r="V14" i="25" s="1"/>
  <c r="I14" i="25"/>
  <c r="J14" i="25" s="1"/>
  <c r="R14" i="25"/>
  <c r="G22" i="25"/>
  <c r="D22" i="25"/>
  <c r="L13" i="25"/>
  <c r="M13" i="25" s="1"/>
  <c r="O13" i="25"/>
  <c r="P13" i="25" s="1"/>
  <c r="U13" i="25"/>
  <c r="V13" i="25" s="1"/>
  <c r="X13" i="25"/>
  <c r="Y13" i="25" s="1"/>
  <c r="F13" i="25"/>
  <c r="R13" i="25"/>
  <c r="D10" i="25"/>
  <c r="G10" i="25"/>
  <c r="AA10" i="25" s="1"/>
  <c r="G23" i="25"/>
  <c r="D23" i="25"/>
  <c r="AD17" i="24"/>
  <c r="AG38" i="24"/>
  <c r="E38" i="24"/>
  <c r="AB15" i="24"/>
  <c r="AA15" i="24"/>
  <c r="B17" i="25" s="1"/>
  <c r="G22" i="24"/>
  <c r="B39" i="24"/>
  <c r="F39" i="24"/>
  <c r="D39" i="24"/>
  <c r="AD16" i="24"/>
  <c r="AA16" i="24" s="1"/>
  <c r="B18" i="25" s="1"/>
  <c r="Z16" i="24"/>
  <c r="AC16" i="24"/>
  <c r="AB16" i="24" s="1"/>
  <c r="B36" i="24"/>
  <c r="F36" i="24"/>
  <c r="D36" i="24"/>
  <c r="L16" i="25"/>
  <c r="M16" i="25" s="1"/>
  <c r="F16" i="25"/>
  <c r="X16" i="25"/>
  <c r="Y16" i="25" s="1"/>
  <c r="R16" i="25"/>
  <c r="O16" i="25"/>
  <c r="P16" i="25" s="1"/>
  <c r="U16" i="25"/>
  <c r="V16" i="25" s="1"/>
  <c r="I16" i="25"/>
  <c r="J16" i="25" s="1"/>
  <c r="Z19" i="24"/>
  <c r="AH31" i="24"/>
  <c r="Y18" i="24"/>
  <c r="Z18" i="24"/>
  <c r="X22" i="24"/>
  <c r="B11" i="25"/>
  <c r="AD19" i="24"/>
  <c r="AA19" i="24" s="1"/>
  <c r="B21" i="25" s="1"/>
  <c r="AD18" i="24"/>
  <c r="AB19" i="24"/>
  <c r="B41" i="24"/>
  <c r="R36" i="25"/>
  <c r="U36" i="25"/>
  <c r="F36" i="25"/>
  <c r="L36" i="25"/>
  <c r="M36" i="25" s="1"/>
  <c r="X36" i="25"/>
  <c r="I36" i="25"/>
  <c r="J36" i="25" s="1"/>
  <c r="O36" i="25"/>
  <c r="P36" i="25" s="1"/>
  <c r="F33" i="24"/>
  <c r="AD13" i="24"/>
  <c r="AA13" i="24" s="1"/>
  <c r="B15" i="25" s="1"/>
  <c r="G14" i="25" l="1"/>
  <c r="D14" i="25"/>
  <c r="D36" i="25"/>
  <c r="D13" i="25"/>
  <c r="G13" i="25"/>
  <c r="G16" i="25"/>
  <c r="D16" i="25"/>
  <c r="AA17" i="24"/>
  <c r="B19" i="25" s="1"/>
  <c r="AB17" i="24"/>
  <c r="U17" i="25"/>
  <c r="V17" i="25" s="1"/>
  <c r="I17" i="25"/>
  <c r="J17" i="25" s="1"/>
  <c r="F17" i="25"/>
  <c r="X17" i="25"/>
  <c r="Y17" i="25" s="1"/>
  <c r="L17" i="25"/>
  <c r="M17" i="25" s="1"/>
  <c r="O17" i="25"/>
  <c r="P17" i="25" s="1"/>
  <c r="R17" i="25"/>
  <c r="E39" i="24"/>
  <c r="AG39" i="24"/>
  <c r="X18" i="25"/>
  <c r="Y18" i="25" s="1"/>
  <c r="I18" i="25"/>
  <c r="J18" i="25" s="1"/>
  <c r="U18" i="25"/>
  <c r="V18" i="25" s="1"/>
  <c r="O18" i="25"/>
  <c r="P18" i="25" s="1"/>
  <c r="R18" i="25"/>
  <c r="F18" i="25"/>
  <c r="L18" i="25"/>
  <c r="M18" i="25" s="1"/>
  <c r="E36" i="24"/>
  <c r="AG36" i="24"/>
  <c r="R15" i="25"/>
  <c r="F15" i="25"/>
  <c r="I15" i="25"/>
  <c r="J15" i="25" s="1"/>
  <c r="X15" i="25"/>
  <c r="Y15" i="25" s="1"/>
  <c r="U15" i="25"/>
  <c r="V15" i="25" s="1"/>
  <c r="L15" i="25"/>
  <c r="M15" i="25" s="1"/>
  <c r="O15" i="25"/>
  <c r="P15" i="25" s="1"/>
  <c r="AB13" i="24"/>
  <c r="D41" i="24"/>
  <c r="D45" i="24" s="1"/>
  <c r="E41" i="24"/>
  <c r="AG41" i="24"/>
  <c r="B45" i="24"/>
  <c r="E45" i="24" s="1"/>
  <c r="AA18" i="24"/>
  <c r="AD22" i="24"/>
  <c r="U11" i="25"/>
  <c r="L11" i="25"/>
  <c r="I11" i="25"/>
  <c r="O11" i="25"/>
  <c r="F11" i="25"/>
  <c r="D11" i="25" s="1"/>
  <c r="D9" i="25" s="1"/>
  <c r="X11" i="25"/>
  <c r="B9" i="25"/>
  <c r="AC18" i="24"/>
  <c r="AB18" i="24" s="1"/>
  <c r="Y22" i="24"/>
  <c r="AC22" i="24" s="1"/>
  <c r="F21" i="25"/>
  <c r="U21" i="25"/>
  <c r="V21" i="25" s="1"/>
  <c r="X21" i="25"/>
  <c r="Y21" i="25" s="1"/>
  <c r="R21" i="25"/>
  <c r="I21" i="25"/>
  <c r="J21" i="25" s="1"/>
  <c r="L21" i="25"/>
  <c r="M21" i="25" s="1"/>
  <c r="O21" i="25"/>
  <c r="P21" i="25" s="1"/>
  <c r="V36" i="25"/>
  <c r="Y36" i="25"/>
  <c r="G36" i="25"/>
  <c r="AB45" i="24"/>
  <c r="G15" i="25" l="1"/>
  <c r="D15" i="25"/>
  <c r="G21" i="25"/>
  <c r="D21" i="25"/>
  <c r="G18" i="25"/>
  <c r="D18" i="25"/>
  <c r="G17" i="25"/>
  <c r="D17" i="25"/>
  <c r="L19" i="25"/>
  <c r="M19" i="25" s="1"/>
  <c r="X19" i="25"/>
  <c r="Y19" i="25" s="1"/>
  <c r="I19" i="25"/>
  <c r="J19" i="25" s="1"/>
  <c r="O19" i="25"/>
  <c r="P19" i="25" s="1"/>
  <c r="R19" i="25"/>
  <c r="U19" i="25"/>
  <c r="V19" i="25" s="1"/>
  <c r="F19" i="25"/>
  <c r="E3" i="38"/>
  <c r="Z22" i="24"/>
  <c r="Y11" i="25"/>
  <c r="Y9" i="25" s="1"/>
  <c r="X9" i="25"/>
  <c r="P11" i="25"/>
  <c r="P9" i="25" s="1"/>
  <c r="O9" i="25"/>
  <c r="L9" i="25"/>
  <c r="M11" i="25"/>
  <c r="G11" i="25"/>
  <c r="G9" i="25" s="1"/>
  <c r="F9" i="25"/>
  <c r="I9" i="25"/>
  <c r="J11" i="25"/>
  <c r="V11" i="25"/>
  <c r="V9" i="25" s="1"/>
  <c r="U9" i="25"/>
  <c r="B20" i="25"/>
  <c r="AA22" i="24"/>
  <c r="AH35" i="24"/>
  <c r="AG45" i="24"/>
  <c r="F41" i="24"/>
  <c r="F45" i="24" s="1"/>
  <c r="G19" i="25" l="1"/>
  <c r="D19" i="25"/>
  <c r="R20" i="25"/>
  <c r="R12" i="25" s="1"/>
  <c r="R8" i="25" s="1"/>
  <c r="U20" i="25"/>
  <c r="O20" i="25"/>
  <c r="X20" i="25"/>
  <c r="B12" i="25"/>
  <c r="B8" i="25" s="1"/>
  <c r="F20" i="25"/>
  <c r="I20" i="25"/>
  <c r="L20" i="25"/>
  <c r="D20" i="25" l="1"/>
  <c r="D12" i="25" s="1"/>
  <c r="G43" i="24"/>
  <c r="G44" i="24"/>
  <c r="H44" i="24" s="1"/>
  <c r="M36" i="24"/>
  <c r="N36" i="24" s="1"/>
  <c r="H33" i="24" s="1"/>
  <c r="J20" i="25"/>
  <c r="I12" i="25"/>
  <c r="I8" i="25" s="1"/>
  <c r="P20" i="25"/>
  <c r="P12" i="25" s="1"/>
  <c r="P8" i="25" s="1"/>
  <c r="O12" i="25"/>
  <c r="O8" i="25" s="1"/>
  <c r="G18" i="41"/>
  <c r="E18" i="41"/>
  <c r="D18" i="41"/>
  <c r="F18" i="41"/>
  <c r="M20" i="25"/>
  <c r="L12" i="25"/>
  <c r="L8" i="25" s="1"/>
  <c r="G20" i="25"/>
  <c r="G12" i="25" s="1"/>
  <c r="G8" i="25" s="1"/>
  <c r="F12" i="25"/>
  <c r="F8" i="25" s="1"/>
  <c r="Y20" i="25"/>
  <c r="Y12" i="25" s="1"/>
  <c r="Y8" i="25" s="1"/>
  <c r="X12" i="25"/>
  <c r="X8" i="25" s="1"/>
  <c r="V20" i="25"/>
  <c r="U12" i="25"/>
  <c r="U8" i="25" s="1"/>
  <c r="G33" i="24" l="1"/>
  <c r="H43" i="24"/>
  <c r="C18" i="41"/>
  <c r="O40" i="24" l="1"/>
  <c r="M37" i="24"/>
  <c r="N37" i="24" s="1"/>
  <c r="H36" i="24" s="1"/>
  <c r="X57" i="24" l="1"/>
  <c r="B20" i="22"/>
  <c r="Q40" i="24"/>
  <c r="O45" i="24"/>
  <c r="G36" i="24"/>
  <c r="M42" i="24"/>
  <c r="N42" i="24" s="1"/>
  <c r="H40" i="24" s="1"/>
  <c r="Y57" i="24" l="1"/>
  <c r="Z57" i="24"/>
  <c r="AD57" i="24"/>
  <c r="D20" i="22"/>
  <c r="B80" i="24"/>
  <c r="F20" i="22"/>
  <c r="E20" i="22"/>
  <c r="F80" i="24" s="1"/>
  <c r="P45" i="24"/>
  <c r="P40" i="24"/>
  <c r="Q45" i="24"/>
  <c r="B59" i="24"/>
  <c r="AG59" i="24" s="1"/>
  <c r="F59" i="24"/>
  <c r="AB68" i="24"/>
  <c r="E80" i="24" l="1"/>
  <c r="AG80" i="24"/>
  <c r="G20" i="22"/>
  <c r="H20" i="22" s="1"/>
  <c r="AB57" i="24"/>
  <c r="AA57" i="24"/>
  <c r="B59" i="25" s="1"/>
  <c r="D80" i="24"/>
  <c r="AC57" i="24"/>
  <c r="D5" i="3"/>
  <c r="D6" i="3" s="1"/>
  <c r="M38" i="24"/>
  <c r="N38" i="24" s="1"/>
  <c r="X38" i="24"/>
  <c r="X36" i="24"/>
  <c r="X40" i="24"/>
  <c r="Y40" i="24" s="1"/>
  <c r="M44" i="24"/>
  <c r="N44" i="24" s="1"/>
  <c r="H42" i="24" s="1"/>
  <c r="G40" i="24"/>
  <c r="X44" i="24"/>
  <c r="D8" i="3" l="1"/>
  <c r="D13" i="3" s="1"/>
  <c r="D7" i="50" s="1"/>
  <c r="D6" i="50" s="1"/>
  <c r="X59" i="25"/>
  <c r="Y59" i="25" s="1"/>
  <c r="U59" i="25"/>
  <c r="V59" i="25" s="1"/>
  <c r="I59" i="25"/>
  <c r="J59" i="25" s="1"/>
  <c r="F59" i="25"/>
  <c r="R59" i="25"/>
  <c r="O59" i="25"/>
  <c r="P59" i="25" s="1"/>
  <c r="L59" i="25"/>
  <c r="M59" i="25" s="1"/>
  <c r="F30" i="22"/>
  <c r="G30" i="22"/>
  <c r="G31" i="22" s="1"/>
  <c r="I20" i="22"/>
  <c r="J20" i="22" s="1"/>
  <c r="X35" i="24"/>
  <c r="Y38" i="24"/>
  <c r="Z38" i="24"/>
  <c r="G32" i="24"/>
  <c r="AD38" i="24"/>
  <c r="B61" i="24"/>
  <c r="H32" i="24"/>
  <c r="H34" i="24"/>
  <c r="AC34" i="24" s="1"/>
  <c r="M39" i="24"/>
  <c r="N39" i="24" s="1"/>
  <c r="H37" i="24" s="1"/>
  <c r="Y36" i="24"/>
  <c r="Z36" i="24"/>
  <c r="Z44" i="24"/>
  <c r="Y44" i="24"/>
  <c r="B63" i="24"/>
  <c r="AG63" i="24" s="1"/>
  <c r="F63" i="24"/>
  <c r="Z40" i="24"/>
  <c r="D63" i="24"/>
  <c r="AC40" i="24"/>
  <c r="D6" i="53" l="1"/>
  <c r="D5" i="50"/>
  <c r="I30" i="22"/>
  <c r="I31" i="22" s="1"/>
  <c r="K20" i="22"/>
  <c r="D59" i="25"/>
  <c r="G59" i="25"/>
  <c r="Y35" i="24"/>
  <c r="Z35" i="24"/>
  <c r="B58" i="24"/>
  <c r="AD35" i="24"/>
  <c r="F31" i="22"/>
  <c r="E63" i="24"/>
  <c r="H30" i="22"/>
  <c r="H31" i="22" s="1"/>
  <c r="E61" i="24"/>
  <c r="AG61" i="24"/>
  <c r="AB38" i="24"/>
  <c r="AA38" i="24"/>
  <c r="B40" i="25" s="1"/>
  <c r="X32" i="24"/>
  <c r="D61" i="24"/>
  <c r="AC38" i="24"/>
  <c r="D59" i="24"/>
  <c r="AC36" i="24"/>
  <c r="AD36" i="24"/>
  <c r="AA36" i="24" s="1"/>
  <c r="B38" i="25" s="1"/>
  <c r="E30" i="30"/>
  <c r="G42" i="24"/>
  <c r="D67" i="24"/>
  <c r="AC44" i="24"/>
  <c r="X42" i="24"/>
  <c r="Y42" i="24" s="1"/>
  <c r="AD44" i="24"/>
  <c r="AA44" i="24" s="1"/>
  <c r="B46" i="25" s="1"/>
  <c r="AD40" i="24"/>
  <c r="M41" i="24"/>
  <c r="AA35" i="24" l="1"/>
  <c r="B37" i="25" s="1"/>
  <c r="AB35" i="24"/>
  <c r="J30" i="22"/>
  <c r="J31" i="22" s="1"/>
  <c r="L20" i="22"/>
  <c r="AG58" i="24"/>
  <c r="E58" i="24"/>
  <c r="D58" i="24"/>
  <c r="AC35" i="24"/>
  <c r="H25" i="41"/>
  <c r="B55" i="24"/>
  <c r="F55" i="24"/>
  <c r="U40" i="25"/>
  <c r="V40" i="25" s="1"/>
  <c r="L40" i="25"/>
  <c r="M40" i="25" s="1"/>
  <c r="I40" i="25"/>
  <c r="J40" i="25" s="1"/>
  <c r="F40" i="25"/>
  <c r="O40" i="25"/>
  <c r="P40" i="25" s="1"/>
  <c r="R40" i="25"/>
  <c r="X40" i="25"/>
  <c r="Y40" i="25" s="1"/>
  <c r="Y32" i="24"/>
  <c r="Z32" i="24"/>
  <c r="G37" i="24"/>
  <c r="X37" i="24"/>
  <c r="M59" i="24"/>
  <c r="N59" i="24" s="1"/>
  <c r="H56" i="24" s="1"/>
  <c r="G56" i="24"/>
  <c r="E59" i="24"/>
  <c r="U38" i="25"/>
  <c r="V38" i="25" s="1"/>
  <c r="O38" i="25"/>
  <c r="P38" i="25" s="1"/>
  <c r="F38" i="25"/>
  <c r="R38" i="25"/>
  <c r="I38" i="25"/>
  <c r="J38" i="25" s="1"/>
  <c r="X38" i="25"/>
  <c r="Y38" i="25" s="1"/>
  <c r="L38" i="25"/>
  <c r="M38" i="25" s="1"/>
  <c r="AB36" i="24"/>
  <c r="N41" i="24"/>
  <c r="AA40" i="24"/>
  <c r="B42" i="25" s="1"/>
  <c r="AB40" i="24"/>
  <c r="L46" i="25"/>
  <c r="M46" i="25" s="1"/>
  <c r="O46" i="25"/>
  <c r="P46" i="25" s="1"/>
  <c r="X46" i="25"/>
  <c r="Y46" i="25" s="1"/>
  <c r="R46" i="25"/>
  <c r="F46" i="25"/>
  <c r="I46" i="25"/>
  <c r="J46" i="25" s="1"/>
  <c r="U46" i="25"/>
  <c r="V46" i="25" s="1"/>
  <c r="AB44" i="24"/>
  <c r="Z42" i="24"/>
  <c r="AC42" i="24"/>
  <c r="D65" i="24"/>
  <c r="B65" i="24"/>
  <c r="F65" i="24"/>
  <c r="X37" i="25" l="1"/>
  <c r="Y37" i="25" s="1"/>
  <c r="O37" i="25"/>
  <c r="P37" i="25" s="1"/>
  <c r="L37" i="25"/>
  <c r="M37" i="25" s="1"/>
  <c r="R37" i="25"/>
  <c r="F37" i="25"/>
  <c r="I37" i="25"/>
  <c r="J37" i="25" s="1"/>
  <c r="U37" i="25"/>
  <c r="V37" i="25" s="1"/>
  <c r="K30" i="22"/>
  <c r="M20" i="22"/>
  <c r="L30" i="22"/>
  <c r="L31" i="22" s="1"/>
  <c r="G40" i="25"/>
  <c r="D40" i="25"/>
  <c r="G46" i="25"/>
  <c r="D46" i="25"/>
  <c r="G38" i="25"/>
  <c r="D38" i="25"/>
  <c r="D55" i="24"/>
  <c r="AC32" i="24"/>
  <c r="AG55" i="24"/>
  <c r="E55" i="24"/>
  <c r="AD32" i="24"/>
  <c r="Y37" i="24"/>
  <c r="Z37" i="24"/>
  <c r="B60" i="24"/>
  <c r="AG60" i="24" s="1"/>
  <c r="F60" i="24"/>
  <c r="M43" i="24"/>
  <c r="X39" i="24"/>
  <c r="Y39" i="24" s="1"/>
  <c r="AG65" i="24"/>
  <c r="E65" i="24"/>
  <c r="AD42" i="24"/>
  <c r="AA42" i="24" s="1"/>
  <c r="B44" i="25" s="1"/>
  <c r="O42" i="25"/>
  <c r="P42" i="25" s="1"/>
  <c r="R42" i="25"/>
  <c r="I42" i="25"/>
  <c r="J42" i="25" s="1"/>
  <c r="X42" i="25"/>
  <c r="Y42" i="25" s="1"/>
  <c r="L42" i="25"/>
  <c r="M42" i="25" s="1"/>
  <c r="U42" i="25"/>
  <c r="V42" i="25" s="1"/>
  <c r="F42" i="25"/>
  <c r="G39" i="24"/>
  <c r="H39" i="24"/>
  <c r="K31" i="22" l="1"/>
  <c r="G42" i="25"/>
  <c r="D42" i="25"/>
  <c r="N20" i="22"/>
  <c r="M30" i="22" s="1"/>
  <c r="M31" i="22" s="1"/>
  <c r="G37" i="25"/>
  <c r="D37" i="25"/>
  <c r="AA32" i="24"/>
  <c r="B33" i="25" s="1"/>
  <c r="AB32" i="24"/>
  <c r="D60" i="24"/>
  <c r="E60" i="24" s="1"/>
  <c r="AC37" i="24"/>
  <c r="AD37" i="24"/>
  <c r="X33" i="24"/>
  <c r="X43" i="24"/>
  <c r="N43" i="24"/>
  <c r="M45" i="24"/>
  <c r="R44" i="25"/>
  <c r="O44" i="25"/>
  <c r="P44" i="25" s="1"/>
  <c r="L44" i="25"/>
  <c r="M44" i="25" s="1"/>
  <c r="U44" i="25"/>
  <c r="V44" i="25" s="1"/>
  <c r="I44" i="25"/>
  <c r="J44" i="25" s="1"/>
  <c r="F44" i="25"/>
  <c r="X44" i="25"/>
  <c r="Y44" i="25" s="1"/>
  <c r="AB42" i="24"/>
  <c r="Z39" i="24"/>
  <c r="D62" i="24"/>
  <c r="AC39" i="24"/>
  <c r="F62" i="24"/>
  <c r="B62" i="24"/>
  <c r="G44" i="25" l="1"/>
  <c r="D44" i="25"/>
  <c r="O20" i="22"/>
  <c r="N30" i="22" s="1"/>
  <c r="N31" i="22" s="1"/>
  <c r="R33" i="25"/>
  <c r="O33" i="25"/>
  <c r="P33" i="25" s="1"/>
  <c r="L33" i="25"/>
  <c r="M33" i="25" s="1"/>
  <c r="U33" i="25"/>
  <c r="V33" i="25" s="1"/>
  <c r="X33" i="25"/>
  <c r="Y33" i="25" s="1"/>
  <c r="F33" i="25"/>
  <c r="AA37" i="24"/>
  <c r="B39" i="25" s="1"/>
  <c r="AB37" i="24"/>
  <c r="B56" i="24"/>
  <c r="AG56" i="24" s="1"/>
  <c r="AH54" i="24" s="1"/>
  <c r="G41" i="24"/>
  <c r="G45" i="24" s="1"/>
  <c r="AD33" i="24"/>
  <c r="AA33" i="24" s="1"/>
  <c r="H41" i="24"/>
  <c r="H45" i="24" s="1"/>
  <c r="N45" i="24"/>
  <c r="Y43" i="24"/>
  <c r="Z43" i="24"/>
  <c r="Y33" i="24"/>
  <c r="Z33" i="24"/>
  <c r="X45" i="24"/>
  <c r="X41" i="24"/>
  <c r="AG62" i="24"/>
  <c r="AD39" i="24"/>
  <c r="AA39" i="24" s="1"/>
  <c r="E62" i="24"/>
  <c r="P20" i="22" l="1"/>
  <c r="O30" i="22" s="1"/>
  <c r="O31" i="22" s="1"/>
  <c r="G33" i="25"/>
  <c r="D33" i="25"/>
  <c r="AA33" i="25"/>
  <c r="O39" i="25"/>
  <c r="P39" i="25" s="1"/>
  <c r="F39" i="25"/>
  <c r="I39" i="25"/>
  <c r="J39" i="25" s="1"/>
  <c r="L39" i="25"/>
  <c r="M39" i="25" s="1"/>
  <c r="X39" i="25"/>
  <c r="Y39" i="25" s="1"/>
  <c r="U39" i="25"/>
  <c r="V39" i="25" s="1"/>
  <c r="R39" i="25"/>
  <c r="D56" i="24"/>
  <c r="AC33" i="24"/>
  <c r="AB33" i="24" s="1"/>
  <c r="Y41" i="24"/>
  <c r="Y45" i="24" s="1"/>
  <c r="Z41" i="24"/>
  <c r="D66" i="24"/>
  <c r="AC43" i="24"/>
  <c r="B34" i="25"/>
  <c r="B64" i="24"/>
  <c r="F64" i="24"/>
  <c r="AD43" i="24"/>
  <c r="AA43" i="24" s="1"/>
  <c r="B45" i="25" s="1"/>
  <c r="AB39" i="24"/>
  <c r="B41" i="25"/>
  <c r="G39" i="25" l="1"/>
  <c r="D39" i="25"/>
  <c r="Q20" i="22"/>
  <c r="P30" i="22"/>
  <c r="P31" i="22" s="1"/>
  <c r="AC45" i="24"/>
  <c r="Z45" i="24"/>
  <c r="F45" i="25"/>
  <c r="I45" i="25"/>
  <c r="J45" i="25" s="1"/>
  <c r="R45" i="25"/>
  <c r="O45" i="25"/>
  <c r="P45" i="25" s="1"/>
  <c r="L45" i="25"/>
  <c r="M45" i="25" s="1"/>
  <c r="X45" i="25"/>
  <c r="Y45" i="25" s="1"/>
  <c r="U45" i="25"/>
  <c r="V45" i="25" s="1"/>
  <c r="E6" i="38"/>
  <c r="F56" i="24"/>
  <c r="F68" i="24" s="1"/>
  <c r="I34" i="25"/>
  <c r="X34" i="25"/>
  <c r="U34" i="25"/>
  <c r="L34" i="25"/>
  <c r="O34" i="25"/>
  <c r="R34" i="25"/>
  <c r="R32" i="25" s="1"/>
  <c r="B32" i="25"/>
  <c r="F34" i="25"/>
  <c r="AB43" i="24"/>
  <c r="E56" i="24"/>
  <c r="AD41" i="24"/>
  <c r="AG64" i="24"/>
  <c r="B68" i="24"/>
  <c r="E64" i="24"/>
  <c r="AC41" i="24"/>
  <c r="D64" i="24"/>
  <c r="D68" i="24" s="1"/>
  <c r="I41" i="25"/>
  <c r="J41" i="25" s="1"/>
  <c r="R41" i="25"/>
  <c r="L41" i="25"/>
  <c r="M41" i="25" s="1"/>
  <c r="O41" i="25"/>
  <c r="P41" i="25" s="1"/>
  <c r="U41" i="25"/>
  <c r="V41" i="25" s="1"/>
  <c r="X41" i="25"/>
  <c r="Y41" i="25" s="1"/>
  <c r="F41" i="25"/>
  <c r="R20" i="22" l="1"/>
  <c r="Q30" i="22" s="1"/>
  <c r="D34" i="25"/>
  <c r="D32" i="25" s="1"/>
  <c r="G45" i="25"/>
  <c r="D45" i="25"/>
  <c r="G41" i="25"/>
  <c r="D41" i="25"/>
  <c r="O61" i="24"/>
  <c r="P61" i="24" s="1"/>
  <c r="E68" i="24"/>
  <c r="AB41" i="24"/>
  <c r="AD45" i="24"/>
  <c r="AA41" i="24"/>
  <c r="P34" i="25"/>
  <c r="P32" i="25" s="1"/>
  <c r="O32" i="25"/>
  <c r="U32" i="25"/>
  <c r="V34" i="25"/>
  <c r="V32" i="25" s="1"/>
  <c r="J34" i="25"/>
  <c r="I32" i="25"/>
  <c r="AG68" i="24"/>
  <c r="AH58" i="24"/>
  <c r="F32" i="25"/>
  <c r="G34" i="25"/>
  <c r="G32" i="25" s="1"/>
  <c r="M34" i="25"/>
  <c r="L32" i="25"/>
  <c r="X32" i="25"/>
  <c r="Y34" i="25"/>
  <c r="Y32" i="25" s="1"/>
  <c r="F6" i="38"/>
  <c r="O63" i="24"/>
  <c r="Q31" i="22" l="1"/>
  <c r="R30" i="22"/>
  <c r="X80" i="24"/>
  <c r="B20" i="23"/>
  <c r="G66" i="24"/>
  <c r="B43" i="25"/>
  <c r="AA45" i="24"/>
  <c r="G67" i="24"/>
  <c r="H67" i="24" s="1"/>
  <c r="Q63" i="24"/>
  <c r="Q68" i="24" s="1"/>
  <c r="O68" i="24"/>
  <c r="AD58" i="24" l="1"/>
  <c r="B48" i="22"/>
  <c r="X58" i="24"/>
  <c r="Y80" i="24"/>
  <c r="Z80" i="24"/>
  <c r="D20" i="23"/>
  <c r="E20" i="23"/>
  <c r="F103" i="24" s="1"/>
  <c r="B103" i="24"/>
  <c r="F20" i="23"/>
  <c r="R31" i="22"/>
  <c r="AD80" i="24"/>
  <c r="X55" i="24"/>
  <c r="B6" i="22"/>
  <c r="R43" i="25"/>
  <c r="R35" i="25" s="1"/>
  <c r="R31" i="25" s="1"/>
  <c r="F43" i="25"/>
  <c r="I43" i="25"/>
  <c r="U43" i="25"/>
  <c r="X43" i="25"/>
  <c r="O43" i="25"/>
  <c r="L43" i="25"/>
  <c r="B35" i="25"/>
  <c r="B31" i="25" s="1"/>
  <c r="H66" i="24"/>
  <c r="P63" i="24"/>
  <c r="M63" i="24"/>
  <c r="N63" i="24" s="1"/>
  <c r="H61" i="24" s="1"/>
  <c r="P68" i="24"/>
  <c r="E5" i="3"/>
  <c r="E6" i="3" s="1"/>
  <c r="E8" i="3" l="1"/>
  <c r="E13" i="3" s="1"/>
  <c r="E7" i="50" s="1"/>
  <c r="E6" i="50" s="1"/>
  <c r="Y58" i="24"/>
  <c r="Z58" i="24"/>
  <c r="G20" i="23"/>
  <c r="F30" i="23" s="1"/>
  <c r="B81" i="24"/>
  <c r="F48" i="22"/>
  <c r="D48" i="22"/>
  <c r="D43" i="25"/>
  <c r="D35" i="25" s="1"/>
  <c r="E103" i="24"/>
  <c r="AG103" i="24"/>
  <c r="AB80" i="24"/>
  <c r="AA80" i="24"/>
  <c r="B82" i="25" s="1"/>
  <c r="AC80" i="24"/>
  <c r="D103" i="24"/>
  <c r="AA58" i="24"/>
  <c r="B60" i="25" s="1"/>
  <c r="AB58" i="24"/>
  <c r="B78" i="24"/>
  <c r="D6" i="22"/>
  <c r="E6" i="22" s="1"/>
  <c r="F78" i="24" s="1"/>
  <c r="F6" i="22"/>
  <c r="G6" i="22" s="1"/>
  <c r="AD55" i="24"/>
  <c r="Y55" i="24"/>
  <c r="Z55" i="24"/>
  <c r="E21" i="29"/>
  <c r="E20" i="29"/>
  <c r="P43" i="25"/>
  <c r="P35" i="25" s="1"/>
  <c r="P31" i="25" s="1"/>
  <c r="O35" i="25"/>
  <c r="O31" i="25" s="1"/>
  <c r="V43" i="25"/>
  <c r="U35" i="25"/>
  <c r="U31" i="25" s="1"/>
  <c r="F35" i="25"/>
  <c r="F31" i="25" s="1"/>
  <c r="G43" i="25"/>
  <c r="G35" i="25" s="1"/>
  <c r="G31" i="25" s="1"/>
  <c r="H18" i="41"/>
  <c r="M43" i="25"/>
  <c r="M35" i="25" s="1"/>
  <c r="L35" i="25"/>
  <c r="L31" i="25" s="1"/>
  <c r="Y43" i="25"/>
  <c r="Y35" i="25" s="1"/>
  <c r="Y31" i="25" s="1"/>
  <c r="X35" i="25"/>
  <c r="X31" i="25" s="1"/>
  <c r="J43" i="25"/>
  <c r="I35" i="25"/>
  <c r="I31" i="25" s="1"/>
  <c r="G61" i="24"/>
  <c r="E6" i="53" l="1"/>
  <c r="E5" i="50"/>
  <c r="H20" i="23"/>
  <c r="I20" i="23" s="1"/>
  <c r="R82" i="25"/>
  <c r="F82" i="25"/>
  <c r="I82" i="25"/>
  <c r="J82" i="25" s="1"/>
  <c r="O82" i="25"/>
  <c r="P82" i="25" s="1"/>
  <c r="L82" i="25"/>
  <c r="M82" i="25" s="1"/>
  <c r="X82" i="25"/>
  <c r="Y82" i="25" s="1"/>
  <c r="U82" i="25"/>
  <c r="V82" i="25" s="1"/>
  <c r="G48" i="22"/>
  <c r="H48" i="22" s="1"/>
  <c r="F58" i="22"/>
  <c r="F31" i="23"/>
  <c r="F60" i="25"/>
  <c r="I60" i="25"/>
  <c r="J60" i="25" s="1"/>
  <c r="X60" i="25"/>
  <c r="Y60" i="25" s="1"/>
  <c r="U60" i="25"/>
  <c r="V60" i="25" s="1"/>
  <c r="L60" i="25"/>
  <c r="M60" i="25" s="1"/>
  <c r="O60" i="25"/>
  <c r="P60" i="25" s="1"/>
  <c r="R60" i="25"/>
  <c r="E81" i="24"/>
  <c r="AG81" i="24"/>
  <c r="D81" i="24"/>
  <c r="AC58" i="24"/>
  <c r="D78" i="24"/>
  <c r="AC55" i="24"/>
  <c r="AA55" i="24"/>
  <c r="B56" i="25" s="1"/>
  <c r="AB55" i="24"/>
  <c r="F16" i="22"/>
  <c r="H6" i="22"/>
  <c r="E78" i="24"/>
  <c r="AG78" i="24"/>
  <c r="E23" i="29"/>
  <c r="E10" i="38"/>
  <c r="F10" i="38" s="1"/>
  <c r="B118" i="22"/>
  <c r="X61" i="24"/>
  <c r="D17" i="7" l="1"/>
  <c r="L17" i="7" s="1"/>
  <c r="C8" i="4"/>
  <c r="G60" i="25"/>
  <c r="D60" i="25"/>
  <c r="F59" i="22"/>
  <c r="D82" i="25"/>
  <c r="G82" i="25"/>
  <c r="G58" i="22"/>
  <c r="G59" i="22" s="1"/>
  <c r="I48" i="22"/>
  <c r="J48" i="22" s="1"/>
  <c r="G30" i="23"/>
  <c r="H30" i="23"/>
  <c r="H31" i="23" s="1"/>
  <c r="J20" i="23"/>
  <c r="F12" i="30"/>
  <c r="G16" i="22"/>
  <c r="G17" i="22" s="1"/>
  <c r="I6" i="22"/>
  <c r="F17" i="22"/>
  <c r="F56" i="25"/>
  <c r="O56" i="25"/>
  <c r="P56" i="25" s="1"/>
  <c r="R56" i="25"/>
  <c r="U56" i="25"/>
  <c r="V56" i="25" s="1"/>
  <c r="L56" i="25"/>
  <c r="M56" i="25" s="1"/>
  <c r="X56" i="25"/>
  <c r="Y56" i="25" s="1"/>
  <c r="M60" i="24"/>
  <c r="N60" i="24" s="1"/>
  <c r="H59" i="24" s="1"/>
  <c r="F30" i="30"/>
  <c r="Y61" i="24"/>
  <c r="Z61" i="24"/>
  <c r="B84" i="24"/>
  <c r="D118" i="22"/>
  <c r="F118" i="22"/>
  <c r="G118" i="22" s="1"/>
  <c r="M65" i="24"/>
  <c r="N65" i="24" s="1"/>
  <c r="H63" i="24" s="1"/>
  <c r="H10" i="38"/>
  <c r="E22" i="30" l="1"/>
  <c r="H22" i="41" s="1"/>
  <c r="D23" i="7"/>
  <c r="L23" i="7" s="1"/>
  <c r="I58" i="22"/>
  <c r="I59" i="22" s="1"/>
  <c r="K48" i="22"/>
  <c r="G56" i="25"/>
  <c r="D56" i="25"/>
  <c r="I30" i="23"/>
  <c r="I31" i="23" s="1"/>
  <c r="K20" i="23"/>
  <c r="G31" i="23"/>
  <c r="H58" i="22"/>
  <c r="I25" i="41"/>
  <c r="H16" i="22"/>
  <c r="H17" i="22" s="1"/>
  <c r="J6" i="22"/>
  <c r="G59" i="24"/>
  <c r="G63" i="24"/>
  <c r="F128" i="22"/>
  <c r="F129" i="22" s="1"/>
  <c r="H118" i="22"/>
  <c r="I118" i="22" s="1"/>
  <c r="AG84" i="24"/>
  <c r="E84" i="24"/>
  <c r="D84" i="24"/>
  <c r="AC61" i="24"/>
  <c r="AD61" i="24"/>
  <c r="E20" i="30" l="1"/>
  <c r="H59" i="22"/>
  <c r="J30" i="23"/>
  <c r="L20" i="23"/>
  <c r="J58" i="22"/>
  <c r="J59" i="22" s="1"/>
  <c r="L48" i="22"/>
  <c r="I16" i="22"/>
  <c r="K6" i="22"/>
  <c r="L6" i="22" s="1"/>
  <c r="X59" i="24"/>
  <c r="Y59" i="24" s="1"/>
  <c r="B62" i="22"/>
  <c r="AA61" i="24"/>
  <c r="B63" i="25" s="1"/>
  <c r="AB61" i="24"/>
  <c r="G128" i="22"/>
  <c r="G129" i="22" s="1"/>
  <c r="X63" i="24"/>
  <c r="B132" i="22"/>
  <c r="H128" i="22"/>
  <c r="H129" i="22" s="1"/>
  <c r="J118" i="22"/>
  <c r="M62" i="24"/>
  <c r="J31" i="23" l="1"/>
  <c r="J16" i="22"/>
  <c r="J17" i="22" s="1"/>
  <c r="K58" i="22"/>
  <c r="K59" i="22" s="1"/>
  <c r="M48" i="22"/>
  <c r="N48" i="22" s="1"/>
  <c r="K30" i="23"/>
  <c r="K31" i="23" s="1"/>
  <c r="M20" i="23"/>
  <c r="K16" i="22"/>
  <c r="K17" i="22" s="1"/>
  <c r="M6" i="22"/>
  <c r="I17" i="22"/>
  <c r="F62" i="22"/>
  <c r="G62" i="22" s="1"/>
  <c r="D62" i="22"/>
  <c r="B82" i="24"/>
  <c r="E62" i="22"/>
  <c r="F82" i="24" s="1"/>
  <c r="Z59" i="24"/>
  <c r="AC59" i="24"/>
  <c r="D82" i="24"/>
  <c r="X56" i="24"/>
  <c r="B34" i="22"/>
  <c r="M67" i="24"/>
  <c r="N67" i="24" s="1"/>
  <c r="H65" i="24" s="1"/>
  <c r="N62" i="24"/>
  <c r="I128" i="22"/>
  <c r="I129" i="22" s="1"/>
  <c r="K118" i="22"/>
  <c r="B86" i="24"/>
  <c r="AG86" i="24" s="1"/>
  <c r="F132" i="22"/>
  <c r="E132" i="22"/>
  <c r="F86" i="24" s="1"/>
  <c r="D132" i="22"/>
  <c r="G60" i="24"/>
  <c r="Y63" i="24"/>
  <c r="Z63" i="24" s="1"/>
  <c r="O63" i="25"/>
  <c r="P63" i="25" s="1"/>
  <c r="U63" i="25"/>
  <c r="V63" i="25" s="1"/>
  <c r="R63" i="25"/>
  <c r="L63" i="25"/>
  <c r="M63" i="25" s="1"/>
  <c r="X63" i="25"/>
  <c r="Y63" i="25" s="1"/>
  <c r="F63" i="25"/>
  <c r="I63" i="25"/>
  <c r="J63" i="25" s="1"/>
  <c r="L58" i="22" l="1"/>
  <c r="L59" i="22" s="1"/>
  <c r="G63" i="25"/>
  <c r="D63" i="25"/>
  <c r="L30" i="23"/>
  <c r="L31" i="23" s="1"/>
  <c r="N20" i="23"/>
  <c r="M58" i="22"/>
  <c r="M59" i="22" s="1"/>
  <c r="O48" i="22"/>
  <c r="L16" i="22"/>
  <c r="N6" i="22"/>
  <c r="E82" i="24"/>
  <c r="AG82" i="24"/>
  <c r="AD59" i="24"/>
  <c r="AA59" i="24" s="1"/>
  <c r="B61" i="25" s="1"/>
  <c r="F72" i="22"/>
  <c r="F73" i="22" s="1"/>
  <c r="H62" i="22"/>
  <c r="G72" i="22" s="1"/>
  <c r="G73" i="22" s="1"/>
  <c r="X67" i="24"/>
  <c r="D34" i="22"/>
  <c r="E34" i="22" s="1"/>
  <c r="F79" i="24" s="1"/>
  <c r="F34" i="22"/>
  <c r="B79" i="24"/>
  <c r="G65" i="24"/>
  <c r="M66" i="24"/>
  <c r="N66" i="24" s="1"/>
  <c r="H64" i="24" s="1"/>
  <c r="Y56" i="24"/>
  <c r="Z56" i="24"/>
  <c r="AD63" i="24"/>
  <c r="AA63" i="24" s="1"/>
  <c r="B65" i="25" s="1"/>
  <c r="H60" i="24"/>
  <c r="D86" i="24"/>
  <c r="E86" i="24" s="1"/>
  <c r="AC63" i="24"/>
  <c r="X60" i="24"/>
  <c r="Y60" i="24" s="1"/>
  <c r="B76" i="22"/>
  <c r="G132" i="22"/>
  <c r="F142" i="22" s="1"/>
  <c r="J128" i="22"/>
  <c r="J129" i="22" s="1"/>
  <c r="L118" i="22"/>
  <c r="K128" i="22" s="1"/>
  <c r="K129" i="22" s="1"/>
  <c r="AB63" i="24" l="1"/>
  <c r="M30" i="23"/>
  <c r="O20" i="23"/>
  <c r="N58" i="22"/>
  <c r="N59" i="22" s="1"/>
  <c r="P48" i="22"/>
  <c r="M16" i="22"/>
  <c r="M17" i="22" s="1"/>
  <c r="O6" i="22"/>
  <c r="L17" i="22"/>
  <c r="R61" i="25"/>
  <c r="L61" i="25"/>
  <c r="M61" i="25" s="1"/>
  <c r="I61" i="25"/>
  <c r="J61" i="25" s="1"/>
  <c r="U61" i="25"/>
  <c r="V61" i="25" s="1"/>
  <c r="O61" i="25"/>
  <c r="P61" i="25" s="1"/>
  <c r="F61" i="25"/>
  <c r="X61" i="25"/>
  <c r="Y61" i="25" s="1"/>
  <c r="AB59" i="24"/>
  <c r="H67" i="22"/>
  <c r="D79" i="24"/>
  <c r="AC56" i="24"/>
  <c r="G64" i="24"/>
  <c r="AD56" i="24"/>
  <c r="AG79" i="24"/>
  <c r="AH77" i="24" s="1"/>
  <c r="E79" i="24"/>
  <c r="Z67" i="24"/>
  <c r="Y67" i="24"/>
  <c r="X66" i="24"/>
  <c r="X65" i="24"/>
  <c r="B146" i="22"/>
  <c r="G34" i="22"/>
  <c r="M64" i="24"/>
  <c r="F143" i="22"/>
  <c r="Z60" i="24"/>
  <c r="AC60" i="24"/>
  <c r="D83" i="24"/>
  <c r="M118" i="22"/>
  <c r="L128" i="22"/>
  <c r="L129" i="22" s="1"/>
  <c r="D76" i="22"/>
  <c r="E76" i="22" s="1"/>
  <c r="F83" i="24" s="1"/>
  <c r="B83" i="24"/>
  <c r="F76" i="22"/>
  <c r="G76" i="22" s="1"/>
  <c r="X65" i="25"/>
  <c r="Y65" i="25" s="1"/>
  <c r="L65" i="25"/>
  <c r="M65" i="25" s="1"/>
  <c r="I65" i="25"/>
  <c r="J65" i="25" s="1"/>
  <c r="R65" i="25"/>
  <c r="F65" i="25"/>
  <c r="U65" i="25"/>
  <c r="V65" i="25" s="1"/>
  <c r="O65" i="25"/>
  <c r="P65" i="25" s="1"/>
  <c r="H132" i="22"/>
  <c r="P54" i="22" l="1"/>
  <c r="R54" i="22" s="1"/>
  <c r="O81" i="24" s="1"/>
  <c r="Q48" i="22"/>
  <c r="P58" i="22" s="1"/>
  <c r="P59" i="22" s="1"/>
  <c r="N30" i="23"/>
  <c r="N31" i="23" s="1"/>
  <c r="P20" i="23"/>
  <c r="G61" i="25"/>
  <c r="D61" i="25"/>
  <c r="G65" i="25"/>
  <c r="D65" i="25"/>
  <c r="O58" i="22"/>
  <c r="O59" i="22" s="1"/>
  <c r="M31" i="23"/>
  <c r="N16" i="22"/>
  <c r="N17" i="22" s="1"/>
  <c r="P6" i="22"/>
  <c r="Q6" i="22" s="1"/>
  <c r="I62" i="22"/>
  <c r="H35" i="22"/>
  <c r="R35" i="22" s="1"/>
  <c r="G79" i="24" s="1"/>
  <c r="R67" i="22"/>
  <c r="M82" i="24" s="1"/>
  <c r="N82" i="24" s="1"/>
  <c r="H79" i="24" s="1"/>
  <c r="H34" i="22"/>
  <c r="G44" i="22" s="1"/>
  <c r="G45" i="22" s="1"/>
  <c r="G62" i="24"/>
  <c r="G68" i="24" s="1"/>
  <c r="F44" i="22"/>
  <c r="F45" i="22" s="1"/>
  <c r="Y65" i="24"/>
  <c r="Z65" i="24" s="1"/>
  <c r="Z66" i="24"/>
  <c r="Y66" i="24"/>
  <c r="N64" i="24"/>
  <c r="M68" i="24"/>
  <c r="AD67" i="24"/>
  <c r="B88" i="24"/>
  <c r="AG88" i="24" s="1"/>
  <c r="F146" i="22"/>
  <c r="D146" i="22"/>
  <c r="E146" i="22" s="1"/>
  <c r="F88" i="24" s="1"/>
  <c r="D90" i="24"/>
  <c r="AC67" i="24"/>
  <c r="AA56" i="24"/>
  <c r="AB56" i="24"/>
  <c r="B104" i="22"/>
  <c r="X64" i="24"/>
  <c r="Y64" i="24" s="1"/>
  <c r="Z64" i="24" s="1"/>
  <c r="I132" i="22"/>
  <c r="H142" i="22" s="1"/>
  <c r="H143" i="22" s="1"/>
  <c r="G142" i="22"/>
  <c r="AD60" i="24"/>
  <c r="AG83" i="24"/>
  <c r="E83" i="24"/>
  <c r="N118" i="22"/>
  <c r="M128" i="22" s="1"/>
  <c r="M129" i="22" s="1"/>
  <c r="F86" i="22"/>
  <c r="F87" i="22" s="1"/>
  <c r="H76" i="22"/>
  <c r="R48" i="22" l="1"/>
  <c r="Q58" i="22"/>
  <c r="O30" i="23"/>
  <c r="O31" i="23" s="1"/>
  <c r="Q20" i="23"/>
  <c r="P30" i="23" s="1"/>
  <c r="P31" i="23" s="1"/>
  <c r="Q81" i="24"/>
  <c r="P81" i="24"/>
  <c r="P16" i="22"/>
  <c r="P17" i="22" s="1"/>
  <c r="R6" i="22"/>
  <c r="Q16" i="22" s="1"/>
  <c r="O16" i="22"/>
  <c r="O17" i="22" s="1"/>
  <c r="J62" i="22"/>
  <c r="I72" i="22" s="1"/>
  <c r="I73" i="22" s="1"/>
  <c r="H72" i="22"/>
  <c r="H73" i="22" s="1"/>
  <c r="D87" i="24"/>
  <c r="AC64" i="24"/>
  <c r="H62" i="24"/>
  <c r="H68" i="24" s="1"/>
  <c r="N68" i="24"/>
  <c r="D88" i="24"/>
  <c r="E88" i="24" s="1"/>
  <c r="AC65" i="24"/>
  <c r="AD65" i="24"/>
  <c r="AA65" i="24" s="1"/>
  <c r="B67" i="25" s="1"/>
  <c r="B87" i="24"/>
  <c r="AG87" i="24" s="1"/>
  <c r="F104" i="22"/>
  <c r="D104" i="22"/>
  <c r="E104" i="22" s="1"/>
  <c r="F87" i="24" s="1"/>
  <c r="B57" i="25"/>
  <c r="AD66" i="24"/>
  <c r="AA66" i="24" s="1"/>
  <c r="B68" i="25" s="1"/>
  <c r="G146" i="22"/>
  <c r="F156" i="22" s="1"/>
  <c r="F157" i="22" s="1"/>
  <c r="AA67" i="24"/>
  <c r="B69" i="25" s="1"/>
  <c r="AB67" i="24"/>
  <c r="AC66" i="24"/>
  <c r="D89" i="24"/>
  <c r="B90" i="22"/>
  <c r="X62" i="24"/>
  <c r="I34" i="22"/>
  <c r="H161" i="22"/>
  <c r="H175" i="22"/>
  <c r="G86" i="22"/>
  <c r="G87" i="22" s="1"/>
  <c r="I76" i="22"/>
  <c r="J76" i="22" s="1"/>
  <c r="G143" i="22"/>
  <c r="O118" i="22"/>
  <c r="P118" i="22" s="1"/>
  <c r="AB60" i="24"/>
  <c r="AA60" i="24"/>
  <c r="J132" i="22"/>
  <c r="I142" i="22" s="1"/>
  <c r="I143" i="22" s="1"/>
  <c r="AB66" i="24" l="1"/>
  <c r="Q59" i="22"/>
  <c r="R58" i="22"/>
  <c r="X81" i="24"/>
  <c r="B48" i="23"/>
  <c r="R20" i="23"/>
  <c r="Q30" i="23" s="1"/>
  <c r="X78" i="24"/>
  <c r="B6" i="23"/>
  <c r="Q17" i="22"/>
  <c r="R16" i="22"/>
  <c r="K62" i="22"/>
  <c r="J72" i="22" s="1"/>
  <c r="J73" i="22" s="1"/>
  <c r="I160" i="22"/>
  <c r="R161" i="22"/>
  <c r="G89" i="24" s="1"/>
  <c r="J34" i="22"/>
  <c r="I44" i="22" s="1"/>
  <c r="I45" i="22" s="1"/>
  <c r="B85" i="24"/>
  <c r="E85" i="24" s="1"/>
  <c r="B189" i="22"/>
  <c r="D90" i="22"/>
  <c r="F90" i="22"/>
  <c r="O69" i="25"/>
  <c r="P69" i="25" s="1"/>
  <c r="L69" i="25"/>
  <c r="M69" i="25" s="1"/>
  <c r="R69" i="25"/>
  <c r="U69" i="25"/>
  <c r="V69" i="25" s="1"/>
  <c r="X69" i="25"/>
  <c r="Y69" i="25" s="1"/>
  <c r="I69" i="25"/>
  <c r="J69" i="25" s="1"/>
  <c r="F69" i="25"/>
  <c r="H146" i="22"/>
  <c r="R68" i="25"/>
  <c r="L68" i="25"/>
  <c r="M68" i="25" s="1"/>
  <c r="I68" i="25"/>
  <c r="J68" i="25" s="1"/>
  <c r="X68" i="25"/>
  <c r="Y68" i="25" s="1"/>
  <c r="U68" i="25"/>
  <c r="V68" i="25" s="1"/>
  <c r="O68" i="25"/>
  <c r="P68" i="25" s="1"/>
  <c r="F68" i="25"/>
  <c r="G104" i="22"/>
  <c r="F114" i="22" s="1"/>
  <c r="F115" i="22" s="1"/>
  <c r="AD64" i="24"/>
  <c r="R175" i="22"/>
  <c r="G90" i="24" s="1"/>
  <c r="H90" i="24" s="1"/>
  <c r="I174" i="22"/>
  <c r="H191" i="22"/>
  <c r="H190" i="22"/>
  <c r="H44" i="22"/>
  <c r="H45" i="22" s="1"/>
  <c r="X68" i="24"/>
  <c r="Y62" i="24"/>
  <c r="E9" i="38"/>
  <c r="O57" i="25"/>
  <c r="U57" i="25"/>
  <c r="F57" i="25"/>
  <c r="B55" i="25"/>
  <c r="X57" i="25"/>
  <c r="L57" i="25"/>
  <c r="I57" i="25"/>
  <c r="R57" i="25"/>
  <c r="R55" i="25" s="1"/>
  <c r="F67" i="25"/>
  <c r="O67" i="25"/>
  <c r="P67" i="25" s="1"/>
  <c r="R67" i="25"/>
  <c r="U67" i="25"/>
  <c r="V67" i="25" s="1"/>
  <c r="X67" i="25"/>
  <c r="Y67" i="25" s="1"/>
  <c r="I67" i="25"/>
  <c r="J67" i="25" s="1"/>
  <c r="L67" i="25"/>
  <c r="M67" i="25" s="1"/>
  <c r="AB65" i="24"/>
  <c r="E87" i="24"/>
  <c r="N128" i="22"/>
  <c r="N129" i="22" s="1"/>
  <c r="K132" i="22"/>
  <c r="J142" i="22" s="1"/>
  <c r="B62" i="25"/>
  <c r="O128" i="22"/>
  <c r="O129" i="22" s="1"/>
  <c r="Q118" i="22"/>
  <c r="P128" i="22" s="1"/>
  <c r="P129" i="22" s="1"/>
  <c r="H86" i="22"/>
  <c r="H87" i="22" s="1"/>
  <c r="I86" i="22"/>
  <c r="I87" i="22" s="1"/>
  <c r="K76" i="22"/>
  <c r="F48" i="23" l="1"/>
  <c r="D48" i="23"/>
  <c r="B104" i="24"/>
  <c r="D57" i="25"/>
  <c r="D55" i="25" s="1"/>
  <c r="Q31" i="23"/>
  <c r="R30" i="23"/>
  <c r="AD81" i="24"/>
  <c r="R59" i="22"/>
  <c r="Z81" i="24"/>
  <c r="Y81" i="24"/>
  <c r="G67" i="25"/>
  <c r="D67" i="25"/>
  <c r="G68" i="25"/>
  <c r="D68" i="25"/>
  <c r="G69" i="25"/>
  <c r="D69" i="25"/>
  <c r="B21" i="31"/>
  <c r="X103" i="24"/>
  <c r="AD78" i="24"/>
  <c r="R17" i="22"/>
  <c r="B101" i="24"/>
  <c r="F6" i="23"/>
  <c r="G6" i="23" s="1"/>
  <c r="D6" i="23"/>
  <c r="E6" i="23" s="1"/>
  <c r="F101" i="24" s="1"/>
  <c r="Z78" i="24"/>
  <c r="Y78" i="24"/>
  <c r="L62" i="22"/>
  <c r="K72" i="22" s="1"/>
  <c r="K73" i="22" s="1"/>
  <c r="M57" i="25"/>
  <c r="L55" i="25"/>
  <c r="V57" i="25"/>
  <c r="V55" i="25" s="1"/>
  <c r="U55" i="25"/>
  <c r="F9" i="38"/>
  <c r="Z62" i="24"/>
  <c r="AC62" i="24"/>
  <c r="D85" i="24"/>
  <c r="D91" i="24" s="1"/>
  <c r="Y68" i="24"/>
  <c r="AD62" i="24"/>
  <c r="H184" i="22"/>
  <c r="H185" i="22" s="1"/>
  <c r="J174" i="22"/>
  <c r="I184" i="22" s="1"/>
  <c r="I185" i="22" s="1"/>
  <c r="I146" i="22"/>
  <c r="H156" i="22" s="1"/>
  <c r="H157" i="22" s="1"/>
  <c r="F189" i="22"/>
  <c r="G90" i="22"/>
  <c r="F100" i="22" s="1"/>
  <c r="H89" i="24"/>
  <c r="I55" i="25"/>
  <c r="J57" i="25"/>
  <c r="X55" i="25"/>
  <c r="Y57" i="25"/>
  <c r="Y55" i="25" s="1"/>
  <c r="F55" i="25"/>
  <c r="G57" i="25"/>
  <c r="G55" i="25" s="1"/>
  <c r="O55" i="25"/>
  <c r="P57" i="25"/>
  <c r="P55" i="25" s="1"/>
  <c r="AA64" i="24"/>
  <c r="B66" i="25" s="1"/>
  <c r="AB64" i="24"/>
  <c r="H104" i="22"/>
  <c r="G114" i="22" s="1"/>
  <c r="G115" i="22" s="1"/>
  <c r="G156" i="22"/>
  <c r="G157" i="22" s="1"/>
  <c r="E90" i="22"/>
  <c r="D189" i="22"/>
  <c r="B91" i="24"/>
  <c r="AG85" i="24"/>
  <c r="K34" i="22"/>
  <c r="J44" i="22" s="1"/>
  <c r="J45" i="22" s="1"/>
  <c r="J160" i="22"/>
  <c r="H170" i="22"/>
  <c r="H171" i="22" s="1"/>
  <c r="I170" i="22"/>
  <c r="I171" i="22" s="1"/>
  <c r="J143" i="22"/>
  <c r="J86" i="22"/>
  <c r="J87" i="22" s="1"/>
  <c r="L76" i="22"/>
  <c r="U62" i="25"/>
  <c r="V62" i="25" s="1"/>
  <c r="F62" i="25"/>
  <c r="I62" i="25"/>
  <c r="J62" i="25" s="1"/>
  <c r="L62" i="25"/>
  <c r="M62" i="25" s="1"/>
  <c r="O62" i="25"/>
  <c r="P62" i="25" s="1"/>
  <c r="R62" i="25"/>
  <c r="X62" i="25"/>
  <c r="Y62" i="25" s="1"/>
  <c r="L132" i="22"/>
  <c r="M132" i="22" s="1"/>
  <c r="AA81" i="24" l="1"/>
  <c r="B83" i="25" s="1"/>
  <c r="AB81" i="24"/>
  <c r="E104" i="24"/>
  <c r="AG104" i="24"/>
  <c r="D104" i="24"/>
  <c r="AC81" i="24"/>
  <c r="R31" i="23"/>
  <c r="AD103" i="24"/>
  <c r="Z103" i="24"/>
  <c r="Y103" i="24"/>
  <c r="G62" i="25"/>
  <c r="D62" i="25"/>
  <c r="E21" i="31"/>
  <c r="F126" i="24" s="1"/>
  <c r="F21" i="31"/>
  <c r="B126" i="24"/>
  <c r="D21" i="31"/>
  <c r="G48" i="23"/>
  <c r="F58" i="23" s="1"/>
  <c r="F16" i="23"/>
  <c r="H6" i="23"/>
  <c r="G16" i="23" s="1"/>
  <c r="G17" i="23" s="1"/>
  <c r="D101" i="24"/>
  <c r="AC78" i="24"/>
  <c r="E101" i="24"/>
  <c r="AG101" i="24"/>
  <c r="AB78" i="24"/>
  <c r="AA78" i="24"/>
  <c r="B79" i="25" s="1"/>
  <c r="M62" i="22"/>
  <c r="L72" i="22" s="1"/>
  <c r="L73" i="22" s="1"/>
  <c r="F101" i="22"/>
  <c r="F187" i="22"/>
  <c r="F188" i="22" s="1"/>
  <c r="K160" i="22"/>
  <c r="J170" i="22" s="1"/>
  <c r="J171" i="22" s="1"/>
  <c r="L34" i="22"/>
  <c r="M34" i="22" s="1"/>
  <c r="F85" i="24"/>
  <c r="F91" i="24" s="1"/>
  <c r="E189" i="22"/>
  <c r="AC68" i="24"/>
  <c r="Z68" i="24"/>
  <c r="AB62" i="24"/>
  <c r="AH81" i="24"/>
  <c r="AG91" i="24"/>
  <c r="I104" i="22"/>
  <c r="H114" i="22" s="1"/>
  <c r="H115" i="22" s="1"/>
  <c r="L66" i="25"/>
  <c r="M66" i="25" s="1"/>
  <c r="X66" i="25"/>
  <c r="Y66" i="25" s="1"/>
  <c r="R66" i="25"/>
  <c r="F66" i="25"/>
  <c r="O66" i="25"/>
  <c r="P66" i="25" s="1"/>
  <c r="I66" i="25"/>
  <c r="J66" i="25" s="1"/>
  <c r="U66" i="25"/>
  <c r="V66" i="25" s="1"/>
  <c r="G189" i="22"/>
  <c r="H90" i="22"/>
  <c r="G100" i="22" s="1"/>
  <c r="J146" i="22"/>
  <c r="I156" i="22" s="1"/>
  <c r="I157" i="22" s="1"/>
  <c r="K174" i="22"/>
  <c r="J184" i="22" s="1"/>
  <c r="J185" i="22" s="1"/>
  <c r="AD68" i="24"/>
  <c r="AA62" i="24"/>
  <c r="E91" i="24"/>
  <c r="K142" i="22"/>
  <c r="K86" i="22"/>
  <c r="K87" i="22" s="1"/>
  <c r="M76" i="22"/>
  <c r="L86" i="22"/>
  <c r="L87" i="22" s="1"/>
  <c r="L142" i="22"/>
  <c r="L143" i="22" s="1"/>
  <c r="N132" i="22"/>
  <c r="F59" i="23" l="1"/>
  <c r="E126" i="24"/>
  <c r="AG126" i="24"/>
  <c r="G21" i="31"/>
  <c r="H21" i="31" s="1"/>
  <c r="D126" i="24"/>
  <c r="AC103" i="24"/>
  <c r="H48" i="23"/>
  <c r="G58" i="23" s="1"/>
  <c r="I83" i="25"/>
  <c r="J83" i="25" s="1"/>
  <c r="F83" i="25"/>
  <c r="O83" i="25"/>
  <c r="P83" i="25" s="1"/>
  <c r="X83" i="25"/>
  <c r="Y83" i="25" s="1"/>
  <c r="U83" i="25"/>
  <c r="V83" i="25" s="1"/>
  <c r="R83" i="25"/>
  <c r="L83" i="25"/>
  <c r="M83" i="25" s="1"/>
  <c r="G66" i="25"/>
  <c r="D66" i="25"/>
  <c r="AB103" i="24"/>
  <c r="AA103" i="24"/>
  <c r="B105" i="25" s="1"/>
  <c r="I6" i="23"/>
  <c r="H16" i="23" s="1"/>
  <c r="R79" i="25"/>
  <c r="O79" i="25"/>
  <c r="P79" i="25" s="1"/>
  <c r="L79" i="25"/>
  <c r="M79" i="25" s="1"/>
  <c r="X79" i="25"/>
  <c r="Y79" i="25" s="1"/>
  <c r="F79" i="25"/>
  <c r="U79" i="25"/>
  <c r="V79" i="25" s="1"/>
  <c r="F17" i="23"/>
  <c r="N62" i="22"/>
  <c r="M72" i="22" s="1"/>
  <c r="M73" i="22" s="1"/>
  <c r="G187" i="22"/>
  <c r="G188" i="22" s="1"/>
  <c r="G101" i="22"/>
  <c r="L174" i="22"/>
  <c r="K184" i="22" s="1"/>
  <c r="K185" i="22" s="1"/>
  <c r="K146" i="22"/>
  <c r="J156" i="22" s="1"/>
  <c r="J157" i="22" s="1"/>
  <c r="H189" i="22"/>
  <c r="I90" i="22"/>
  <c r="H100" i="22" s="1"/>
  <c r="J104" i="22"/>
  <c r="K104" i="22" s="1"/>
  <c r="K44" i="22"/>
  <c r="K45" i="22" s="1"/>
  <c r="AA68" i="24"/>
  <c r="B64" i="25"/>
  <c r="L44" i="22"/>
  <c r="L45" i="22" s="1"/>
  <c r="N34" i="22"/>
  <c r="L160" i="22"/>
  <c r="K170" i="22" s="1"/>
  <c r="K171" i="22" s="1"/>
  <c r="N76" i="22"/>
  <c r="O76" i="22" s="1"/>
  <c r="M142" i="22"/>
  <c r="M143" i="22" s="1"/>
  <c r="O132" i="22"/>
  <c r="K143" i="22"/>
  <c r="I114" i="22" l="1"/>
  <c r="I115" i="22" s="1"/>
  <c r="G59" i="23"/>
  <c r="G79" i="25"/>
  <c r="D79" i="25"/>
  <c r="F31" i="31"/>
  <c r="O105" i="25"/>
  <c r="P105" i="25" s="1"/>
  <c r="X105" i="25"/>
  <c r="Y105" i="25" s="1"/>
  <c r="F105" i="25"/>
  <c r="U105" i="25"/>
  <c r="V105" i="25" s="1"/>
  <c r="R105" i="25"/>
  <c r="I105" i="25"/>
  <c r="J105" i="25" s="1"/>
  <c r="L105" i="25"/>
  <c r="M105" i="25" s="1"/>
  <c r="I48" i="23"/>
  <c r="H58" i="23" s="1"/>
  <c r="G31" i="31"/>
  <c r="G32" i="31" s="1"/>
  <c r="I21" i="31"/>
  <c r="G83" i="25"/>
  <c r="D83" i="25"/>
  <c r="H17" i="23"/>
  <c r="J6" i="23"/>
  <c r="I16" i="23" s="1"/>
  <c r="O62" i="22"/>
  <c r="M160" i="22"/>
  <c r="N160" i="22" s="1"/>
  <c r="M44" i="22"/>
  <c r="M45" i="22" s="1"/>
  <c r="O34" i="22"/>
  <c r="L64" i="25"/>
  <c r="R64" i="25"/>
  <c r="R58" i="25" s="1"/>
  <c r="R54" i="25" s="1"/>
  <c r="X64" i="25"/>
  <c r="I64" i="25"/>
  <c r="B58" i="25"/>
  <c r="B54" i="25" s="1"/>
  <c r="F64" i="25"/>
  <c r="O64" i="25"/>
  <c r="U64" i="25"/>
  <c r="J114" i="22"/>
  <c r="J115" i="22" s="1"/>
  <c r="L104" i="22"/>
  <c r="J90" i="22"/>
  <c r="I100" i="22" s="1"/>
  <c r="I189" i="22"/>
  <c r="H187" i="22"/>
  <c r="H188" i="22" s="1"/>
  <c r="H101" i="22"/>
  <c r="L146" i="22"/>
  <c r="M146" i="22" s="1"/>
  <c r="M174" i="22"/>
  <c r="N174" i="22" s="1"/>
  <c r="P132" i="22"/>
  <c r="O142" i="22" s="1"/>
  <c r="O143" i="22" s="1"/>
  <c r="N142" i="22"/>
  <c r="N143" i="22" s="1"/>
  <c r="M86" i="22"/>
  <c r="M87" i="22" s="1"/>
  <c r="N86" i="22"/>
  <c r="N87" i="22" s="1"/>
  <c r="P76" i="22"/>
  <c r="O86" i="22" s="1"/>
  <c r="O87" i="22" s="1"/>
  <c r="H59" i="23" l="1"/>
  <c r="H31" i="31"/>
  <c r="H32" i="31" s="1"/>
  <c r="J21" i="31"/>
  <c r="D64" i="25"/>
  <c r="D58" i="25" s="1"/>
  <c r="G105" i="25"/>
  <c r="D105" i="25"/>
  <c r="J48" i="23"/>
  <c r="I58" i="23" s="1"/>
  <c r="I59" i="23" s="1"/>
  <c r="F32" i="31"/>
  <c r="I17" i="23"/>
  <c r="K6" i="23"/>
  <c r="J16" i="23" s="1"/>
  <c r="P62" i="22"/>
  <c r="O72" i="22" s="1"/>
  <c r="O73" i="22" s="1"/>
  <c r="N72" i="22"/>
  <c r="N73" i="22" s="1"/>
  <c r="L170" i="22"/>
  <c r="L171" i="22" s="1"/>
  <c r="M184" i="22"/>
  <c r="M185" i="22" s="1"/>
  <c r="O174" i="22"/>
  <c r="N184" i="22" s="1"/>
  <c r="N185" i="22" s="1"/>
  <c r="K114" i="22"/>
  <c r="K115" i="22" s="1"/>
  <c r="M104" i="22"/>
  <c r="L114" i="22" s="1"/>
  <c r="L115" i="22" s="1"/>
  <c r="U58" i="25"/>
  <c r="U54" i="25" s="1"/>
  <c r="V64" i="25"/>
  <c r="F58" i="25"/>
  <c r="F54" i="25" s="1"/>
  <c r="G64" i="25"/>
  <c r="G58" i="25" s="1"/>
  <c r="G54" i="25" s="1"/>
  <c r="J64" i="25"/>
  <c r="I58" i="25"/>
  <c r="I54" i="25" s="1"/>
  <c r="L184" i="22"/>
  <c r="L185" i="22" s="1"/>
  <c r="K156" i="22"/>
  <c r="K157" i="22" s="1"/>
  <c r="I101" i="22"/>
  <c r="I187" i="22"/>
  <c r="I188" i="22" s="1"/>
  <c r="J189" i="22"/>
  <c r="K90" i="22"/>
  <c r="J100" i="22"/>
  <c r="P64" i="25"/>
  <c r="P58" i="25" s="1"/>
  <c r="P54" i="25" s="1"/>
  <c r="O58" i="25"/>
  <c r="O54" i="25" s="1"/>
  <c r="Y64" i="25"/>
  <c r="Y58" i="25" s="1"/>
  <c r="Y54" i="25" s="1"/>
  <c r="X58" i="25"/>
  <c r="X54" i="25" s="1"/>
  <c r="M64" i="25"/>
  <c r="M58" i="25" s="1"/>
  <c r="L58" i="25"/>
  <c r="L54" i="25" s="1"/>
  <c r="M170" i="22"/>
  <c r="M171" i="22" s="1"/>
  <c r="O160" i="22"/>
  <c r="N170" i="22" s="1"/>
  <c r="I18" i="41"/>
  <c r="L156" i="22"/>
  <c r="L157" i="22" s="1"/>
  <c r="N146" i="22"/>
  <c r="N44" i="22"/>
  <c r="P34" i="22"/>
  <c r="G30" i="30"/>
  <c r="O44" i="22"/>
  <c r="O45" i="22" s="1"/>
  <c r="Q76" i="22"/>
  <c r="Q81" i="22" s="1"/>
  <c r="P138" i="22"/>
  <c r="R138" i="22" s="1"/>
  <c r="O86" i="24" s="1"/>
  <c r="AB114" i="24"/>
  <c r="I31" i="31" l="1"/>
  <c r="I32" i="31" s="1"/>
  <c r="K21" i="31"/>
  <c r="J31" i="31" s="1"/>
  <c r="J32" i="31" s="1"/>
  <c r="K48" i="23"/>
  <c r="J25" i="41"/>
  <c r="J17" i="23"/>
  <c r="L6" i="23"/>
  <c r="M6" i="23" s="1"/>
  <c r="Q62" i="22"/>
  <c r="P72" i="22" s="1"/>
  <c r="P73" i="22" s="1"/>
  <c r="N171" i="22"/>
  <c r="N45" i="22"/>
  <c r="Q34" i="22"/>
  <c r="P44" i="22" s="1"/>
  <c r="P45" i="22" s="1"/>
  <c r="M156" i="22"/>
  <c r="M157" i="22" s="1"/>
  <c r="O146" i="22"/>
  <c r="K189" i="22"/>
  <c r="L90" i="22"/>
  <c r="P174" i="22"/>
  <c r="O184" i="22" s="1"/>
  <c r="P160" i="22"/>
  <c r="O170" i="22" s="1"/>
  <c r="O171" i="22" s="1"/>
  <c r="J101" i="22"/>
  <c r="J187" i="22"/>
  <c r="J188" i="22" s="1"/>
  <c r="N104" i="22"/>
  <c r="M114" i="22" s="1"/>
  <c r="M115" i="22" s="1"/>
  <c r="Q132" i="22"/>
  <c r="Q137" i="22" s="1"/>
  <c r="Q86" i="24"/>
  <c r="O91" i="24"/>
  <c r="P86" i="22"/>
  <c r="P87" i="22" s="1"/>
  <c r="Q63" i="22"/>
  <c r="R81" i="22"/>
  <c r="M83" i="24" s="1"/>
  <c r="N83" i="24" s="1"/>
  <c r="H82" i="24" s="1"/>
  <c r="P142" i="22" l="1"/>
  <c r="P143" i="22" s="1"/>
  <c r="L21" i="31"/>
  <c r="L48" i="23"/>
  <c r="K58" i="23" s="1"/>
  <c r="K59" i="23" s="1"/>
  <c r="J58" i="23"/>
  <c r="K16" i="23"/>
  <c r="L16" i="23"/>
  <c r="L17" i="23" s="1"/>
  <c r="N6" i="23"/>
  <c r="O6" i="23" s="1"/>
  <c r="O104" i="22"/>
  <c r="N114" i="22" s="1"/>
  <c r="N115" i="22" s="1"/>
  <c r="Q160" i="22"/>
  <c r="P170" i="22" s="1"/>
  <c r="Q174" i="22"/>
  <c r="P184" i="22" s="1"/>
  <c r="R34" i="22"/>
  <c r="Q44" i="22" s="1"/>
  <c r="O185" i="22"/>
  <c r="K100" i="22"/>
  <c r="M90" i="22"/>
  <c r="L100" i="22" s="1"/>
  <c r="L189" i="22"/>
  <c r="N156" i="22"/>
  <c r="N157" i="22" s="1"/>
  <c r="P146" i="22"/>
  <c r="Q146" i="22" s="1"/>
  <c r="R62" i="22"/>
  <c r="R63" i="22"/>
  <c r="G82" i="24" s="1"/>
  <c r="P86" i="24"/>
  <c r="Q91" i="24"/>
  <c r="R137" i="22"/>
  <c r="M86" i="24" s="1"/>
  <c r="N86" i="24" s="1"/>
  <c r="H84" i="24" s="1"/>
  <c r="Q119" i="22"/>
  <c r="M48" i="23" l="1"/>
  <c r="L58" i="23" s="1"/>
  <c r="L59" i="23" s="1"/>
  <c r="M21" i="31"/>
  <c r="J59" i="23"/>
  <c r="K31" i="31"/>
  <c r="M16" i="23"/>
  <c r="M17" i="23" s="1"/>
  <c r="N16" i="23"/>
  <c r="N17" i="23" s="1"/>
  <c r="P6" i="23"/>
  <c r="K17" i="23"/>
  <c r="O156" i="22"/>
  <c r="O157" i="22" s="1"/>
  <c r="P185" i="22"/>
  <c r="Q45" i="22"/>
  <c r="R44" i="22"/>
  <c r="P171" i="22"/>
  <c r="P156" i="22"/>
  <c r="P157" i="22" s="1"/>
  <c r="Q151" i="22"/>
  <c r="L187" i="22"/>
  <c r="L188" i="22" s="1"/>
  <c r="L101" i="22"/>
  <c r="N90" i="22"/>
  <c r="M189" i="22"/>
  <c r="K187" i="22"/>
  <c r="K188" i="22" s="1"/>
  <c r="K101" i="22"/>
  <c r="B34" i="23"/>
  <c r="X79" i="24"/>
  <c r="Q179" i="22"/>
  <c r="Q165" i="22"/>
  <c r="R160" i="22" s="1"/>
  <c r="X89" i="24" s="1"/>
  <c r="P104" i="22"/>
  <c r="Q104" i="22" s="1"/>
  <c r="R119" i="22"/>
  <c r="G84" i="24" s="1"/>
  <c r="R118" i="22"/>
  <c r="F5" i="3"/>
  <c r="F6" i="3" s="1"/>
  <c r="Q72" i="22"/>
  <c r="X82" i="24"/>
  <c r="Y82" i="24" s="1"/>
  <c r="B62" i="23"/>
  <c r="P91" i="24"/>
  <c r="F8" i="3" l="1"/>
  <c r="F13" i="3" s="1"/>
  <c r="F7" i="50" s="1"/>
  <c r="F6" i="50" s="1"/>
  <c r="N21" i="31"/>
  <c r="O21" i="31" s="1"/>
  <c r="K32" i="31"/>
  <c r="L31" i="31"/>
  <c r="L32" i="31" s="1"/>
  <c r="N48" i="23"/>
  <c r="M58" i="23" s="1"/>
  <c r="M59" i="23" s="1"/>
  <c r="O16" i="23"/>
  <c r="O17" i="23" s="1"/>
  <c r="Q6" i="23"/>
  <c r="P16" i="23" s="1"/>
  <c r="P17" i="23" s="1"/>
  <c r="Z89" i="24"/>
  <c r="Y89" i="24"/>
  <c r="R179" i="22"/>
  <c r="M90" i="24" s="1"/>
  <c r="N90" i="24" s="1"/>
  <c r="H88" i="24" s="1"/>
  <c r="Q190" i="22"/>
  <c r="R190" i="22" s="1"/>
  <c r="Q147" i="22"/>
  <c r="R147" i="22" s="1"/>
  <c r="G88" i="24" s="1"/>
  <c r="Q191" i="22"/>
  <c r="R191" i="22" s="1"/>
  <c r="B102" i="24"/>
  <c r="D34" i="23"/>
  <c r="E34" i="23" s="1"/>
  <c r="F102" i="24" s="1"/>
  <c r="F34" i="23"/>
  <c r="M100" i="22"/>
  <c r="N189" i="22"/>
  <c r="O90" i="22"/>
  <c r="N100" i="22" s="1"/>
  <c r="O114" i="22"/>
  <c r="O115" i="22" s="1"/>
  <c r="Q170" i="22"/>
  <c r="Q105" i="22"/>
  <c r="R105" i="22" s="1"/>
  <c r="G87" i="24" s="1"/>
  <c r="R165" i="22"/>
  <c r="M89" i="24" s="1"/>
  <c r="N89" i="24" s="1"/>
  <c r="H87" i="24" s="1"/>
  <c r="R174" i="22"/>
  <c r="Y79" i="24"/>
  <c r="Z79" i="24"/>
  <c r="R151" i="22"/>
  <c r="M88" i="24" s="1"/>
  <c r="N88" i="24" s="1"/>
  <c r="H86" i="24" s="1"/>
  <c r="Q133" i="22"/>
  <c r="R45" i="22"/>
  <c r="AD79" i="24"/>
  <c r="AA79" i="24" s="1"/>
  <c r="P114" i="22"/>
  <c r="P115" i="22" s="1"/>
  <c r="Q109" i="22"/>
  <c r="B105" i="24"/>
  <c r="D62" i="23"/>
  <c r="E62" i="23" s="1"/>
  <c r="F105" i="24" s="1"/>
  <c r="F62" i="23"/>
  <c r="G62" i="23" s="1"/>
  <c r="Q73" i="22"/>
  <c r="R72" i="22"/>
  <c r="B118" i="23"/>
  <c r="X84" i="24"/>
  <c r="Q128" i="22"/>
  <c r="Z82" i="24"/>
  <c r="AC82" i="24"/>
  <c r="D105" i="24"/>
  <c r="F6" i="53" l="1"/>
  <c r="F5" i="50"/>
  <c r="M31" i="31"/>
  <c r="M32" i="31" s="1"/>
  <c r="R104" i="22"/>
  <c r="X87" i="24" s="1"/>
  <c r="O48" i="23"/>
  <c r="P48" i="23" s="1"/>
  <c r="N31" i="31"/>
  <c r="P21" i="31"/>
  <c r="Q21" i="31" s="1"/>
  <c r="R6" i="23"/>
  <c r="Q16" i="23" s="1"/>
  <c r="D102" i="24"/>
  <c r="AC79" i="24"/>
  <c r="AB79" i="24" s="1"/>
  <c r="Q91" i="22"/>
  <c r="R91" i="22" s="1"/>
  <c r="G85" i="24" s="1"/>
  <c r="R109" i="22"/>
  <c r="M87" i="24" s="1"/>
  <c r="N87" i="24" s="1"/>
  <c r="H85" i="24" s="1"/>
  <c r="B80" i="25"/>
  <c r="R133" i="22"/>
  <c r="G86" i="24" s="1"/>
  <c r="R132" i="22"/>
  <c r="R146" i="22"/>
  <c r="X90" i="24"/>
  <c r="Q184" i="22"/>
  <c r="O189" i="22"/>
  <c r="P90" i="22"/>
  <c r="O100" i="22" s="1"/>
  <c r="M101" i="22"/>
  <c r="M187" i="22"/>
  <c r="M188" i="22" s="1"/>
  <c r="D112" i="24"/>
  <c r="AC89" i="24"/>
  <c r="B104" i="23"/>
  <c r="Q171" i="22"/>
  <c r="R170" i="22"/>
  <c r="N101" i="22"/>
  <c r="N187" i="22"/>
  <c r="N188" i="22" s="1"/>
  <c r="G34" i="23"/>
  <c r="H34" i="23" s="1"/>
  <c r="G44" i="23" s="1"/>
  <c r="G45" i="23" s="1"/>
  <c r="E102" i="24"/>
  <c r="AG102" i="24"/>
  <c r="AH100" i="24" s="1"/>
  <c r="R128" i="22"/>
  <c r="Q129" i="22"/>
  <c r="B107" i="24"/>
  <c r="D118" i="23"/>
  <c r="F118" i="23"/>
  <c r="G118" i="23" s="1"/>
  <c r="Y84" i="24"/>
  <c r="Z84" i="24"/>
  <c r="E13" i="38"/>
  <c r="F13" i="38" s="1"/>
  <c r="R73" i="22"/>
  <c r="AD82" i="24"/>
  <c r="F72" i="23"/>
  <c r="F73" i="23" s="1"/>
  <c r="H62" i="23"/>
  <c r="AG105" i="24"/>
  <c r="E105" i="24"/>
  <c r="Q114" i="22" l="1"/>
  <c r="O31" i="31"/>
  <c r="O32" i="31" s="1"/>
  <c r="N32" i="31"/>
  <c r="N58" i="23"/>
  <c r="N59" i="23" s="1"/>
  <c r="O58" i="23"/>
  <c r="O59" i="23" s="1"/>
  <c r="P54" i="23"/>
  <c r="R54" i="23" s="1"/>
  <c r="O104" i="24" s="1"/>
  <c r="P31" i="31"/>
  <c r="P32" i="31" s="1"/>
  <c r="R21" i="31"/>
  <c r="H13" i="38"/>
  <c r="G12" i="30"/>
  <c r="Q17" i="23"/>
  <c r="R16" i="23"/>
  <c r="X101" i="24"/>
  <c r="B7" i="31"/>
  <c r="F44" i="23"/>
  <c r="F45" i="23" s="1"/>
  <c r="O101" i="22"/>
  <c r="O187" i="22"/>
  <c r="O188" i="22" s="1"/>
  <c r="Z87" i="24"/>
  <c r="Y87" i="24"/>
  <c r="Y90" i="24"/>
  <c r="Z90" i="24"/>
  <c r="X86" i="24"/>
  <c r="Y86" i="24" s="1"/>
  <c r="Z86" i="24" s="1"/>
  <c r="Q142" i="22"/>
  <c r="B132" i="23"/>
  <c r="R80" i="25"/>
  <c r="R78" i="25" s="1"/>
  <c r="U80" i="25"/>
  <c r="O80" i="25"/>
  <c r="X80" i="25"/>
  <c r="I80" i="25"/>
  <c r="F80" i="25"/>
  <c r="L80" i="25"/>
  <c r="B78" i="25"/>
  <c r="E12" i="38"/>
  <c r="R171" i="22"/>
  <c r="AD89" i="24"/>
  <c r="R114" i="22"/>
  <c r="Q115" i="22"/>
  <c r="F104" i="23"/>
  <c r="B110" i="24"/>
  <c r="AG110" i="24" s="1"/>
  <c r="D104" i="23"/>
  <c r="E104" i="23" s="1"/>
  <c r="F110" i="24" s="1"/>
  <c r="Q90" i="22"/>
  <c r="P189" i="22"/>
  <c r="P100" i="22"/>
  <c r="Q185" i="22"/>
  <c r="R184" i="22"/>
  <c r="X88" i="24"/>
  <c r="Y88" i="24" s="1"/>
  <c r="B146" i="23"/>
  <c r="Q156" i="22"/>
  <c r="AC84" i="24"/>
  <c r="AB91" i="24" s="1"/>
  <c r="D107" i="24"/>
  <c r="F128" i="23"/>
  <c r="H118" i="23"/>
  <c r="G128" i="23" s="1"/>
  <c r="G129" i="23" s="1"/>
  <c r="E107" i="24"/>
  <c r="AG107" i="24"/>
  <c r="R129" i="22"/>
  <c r="AD84" i="24"/>
  <c r="G72" i="23"/>
  <c r="G73" i="23" s="1"/>
  <c r="H67" i="23"/>
  <c r="I62" i="23" s="1"/>
  <c r="H161" i="23"/>
  <c r="H175" i="23"/>
  <c r="AB82" i="24"/>
  <c r="AA82" i="24"/>
  <c r="AC86" i="24" l="1"/>
  <c r="Q48" i="23"/>
  <c r="R48" i="23" s="1"/>
  <c r="X104" i="24" s="1"/>
  <c r="D80" i="25"/>
  <c r="D78" i="25" s="1"/>
  <c r="P58" i="23"/>
  <c r="P59" i="23" s="1"/>
  <c r="R31" i="31"/>
  <c r="Q31" i="31"/>
  <c r="Q32" i="31" s="1"/>
  <c r="X126" i="24"/>
  <c r="B21" i="32"/>
  <c r="P104" i="24"/>
  <c r="Q104" i="24"/>
  <c r="D109" i="24"/>
  <c r="B124" i="24"/>
  <c r="E7" i="31"/>
  <c r="F124" i="24" s="1"/>
  <c r="D7" i="31"/>
  <c r="F7" i="31"/>
  <c r="AD101" i="24"/>
  <c r="R17" i="23"/>
  <c r="Z101" i="24"/>
  <c r="Y101" i="24"/>
  <c r="R156" i="22"/>
  <c r="Q157" i="22"/>
  <c r="Z88" i="24"/>
  <c r="D111" i="24"/>
  <c r="AC88" i="24"/>
  <c r="G104" i="23"/>
  <c r="F114" i="23" s="1"/>
  <c r="F115" i="23" s="1"/>
  <c r="R115" i="22"/>
  <c r="AD87" i="24"/>
  <c r="M80" i="25"/>
  <c r="L78" i="25"/>
  <c r="J80" i="25"/>
  <c r="I78" i="25"/>
  <c r="O78" i="25"/>
  <c r="P80" i="25"/>
  <c r="P78" i="25" s="1"/>
  <c r="Q143" i="22"/>
  <c r="R142" i="22"/>
  <c r="AC87" i="24"/>
  <c r="D110" i="24"/>
  <c r="E110" i="24" s="1"/>
  <c r="D146" i="23"/>
  <c r="E146" i="23" s="1"/>
  <c r="F111" i="24" s="1"/>
  <c r="B111" i="24"/>
  <c r="AG111" i="24" s="1"/>
  <c r="F146" i="23"/>
  <c r="R185" i="22"/>
  <c r="AD90" i="24"/>
  <c r="P187" i="22"/>
  <c r="P188" i="22" s="1"/>
  <c r="P101" i="22"/>
  <c r="Q95" i="22"/>
  <c r="Q189" i="22"/>
  <c r="R90" i="22"/>
  <c r="AA89" i="24"/>
  <c r="B91" i="25" s="1"/>
  <c r="AB89" i="24"/>
  <c r="F78" i="25"/>
  <c r="G80" i="25"/>
  <c r="G78" i="25" s="1"/>
  <c r="Y80" i="25"/>
  <c r="Y78" i="25" s="1"/>
  <c r="X78" i="25"/>
  <c r="U78" i="25"/>
  <c r="V80" i="25"/>
  <c r="V78" i="25" s="1"/>
  <c r="B109" i="24"/>
  <c r="D132" i="23"/>
  <c r="E132" i="23"/>
  <c r="F109" i="24" s="1"/>
  <c r="F132" i="23"/>
  <c r="G132" i="23" s="1"/>
  <c r="F142" i="23" s="1"/>
  <c r="F143" i="23" s="1"/>
  <c r="D113" i="24"/>
  <c r="AC90" i="24"/>
  <c r="J62" i="23"/>
  <c r="I72" i="23" s="1"/>
  <c r="I73" i="23" s="1"/>
  <c r="H72" i="23"/>
  <c r="H73" i="23" s="1"/>
  <c r="I160" i="23"/>
  <c r="R161" i="23"/>
  <c r="G112" i="24" s="1"/>
  <c r="AB84" i="24"/>
  <c r="AA84" i="24"/>
  <c r="B86" i="25" s="1"/>
  <c r="F129" i="23"/>
  <c r="B84" i="25"/>
  <c r="H191" i="23"/>
  <c r="R175" i="23"/>
  <c r="G113" i="24" s="1"/>
  <c r="H113" i="24" s="1"/>
  <c r="H190" i="23"/>
  <c r="I174" i="23"/>
  <c r="H35" i="23"/>
  <c r="R67" i="23"/>
  <c r="M105" i="24" s="1"/>
  <c r="N105" i="24" s="1"/>
  <c r="H102" i="24" s="1"/>
  <c r="I118" i="23"/>
  <c r="J118" i="23" s="1"/>
  <c r="B49" i="31" l="1"/>
  <c r="Q58" i="23"/>
  <c r="Q59" i="23" s="1"/>
  <c r="R58" i="23"/>
  <c r="Y126" i="24"/>
  <c r="Z126" i="24"/>
  <c r="R32" i="31"/>
  <c r="AD126" i="24"/>
  <c r="C49" i="31"/>
  <c r="C127" i="24" s="1"/>
  <c r="B127" i="24"/>
  <c r="F49" i="31"/>
  <c r="D49" i="31"/>
  <c r="B149" i="24"/>
  <c r="E21" i="32"/>
  <c r="F149" i="24" s="1"/>
  <c r="D21" i="32"/>
  <c r="F21" i="32"/>
  <c r="G21" i="32" s="1"/>
  <c r="Z104" i="24"/>
  <c r="Y104" i="24"/>
  <c r="D124" i="24"/>
  <c r="AC101" i="24"/>
  <c r="G7" i="31"/>
  <c r="H7" i="31" s="1"/>
  <c r="AB101" i="24"/>
  <c r="AA101" i="24"/>
  <c r="B102" i="25" s="1"/>
  <c r="E124" i="24"/>
  <c r="AG124" i="24"/>
  <c r="H132" i="23"/>
  <c r="G142" i="23" s="1"/>
  <c r="G143" i="23" s="1"/>
  <c r="AG109" i="24"/>
  <c r="E109" i="24"/>
  <c r="L91" i="25"/>
  <c r="M91" i="25" s="1"/>
  <c r="R91" i="25"/>
  <c r="F91" i="25"/>
  <c r="U91" i="25"/>
  <c r="O91" i="25"/>
  <c r="P91" i="25" s="1"/>
  <c r="X91" i="25"/>
  <c r="Y91" i="25" s="1"/>
  <c r="I91" i="25"/>
  <c r="J91" i="25" s="1"/>
  <c r="AA90" i="24"/>
  <c r="B92" i="25" s="1"/>
  <c r="AB90" i="24"/>
  <c r="G146" i="23"/>
  <c r="H146" i="23" s="1"/>
  <c r="H104" i="23"/>
  <c r="G114" i="23" s="1"/>
  <c r="G115" i="23" s="1"/>
  <c r="E111" i="24"/>
  <c r="Q100" i="22"/>
  <c r="B90" i="23"/>
  <c r="X85" i="24"/>
  <c r="Y85" i="24" s="1"/>
  <c r="Z85" i="24" s="1"/>
  <c r="R95" i="22"/>
  <c r="M85" i="24" s="1"/>
  <c r="Q77" i="22"/>
  <c r="AD86" i="24"/>
  <c r="R143" i="22"/>
  <c r="AA87" i="24"/>
  <c r="B89" i="25" s="1"/>
  <c r="AB87" i="24"/>
  <c r="R157" i="22"/>
  <c r="AD88" i="24"/>
  <c r="H128" i="23"/>
  <c r="J174" i="23"/>
  <c r="I184" i="23" s="1"/>
  <c r="I185" i="23" s="1"/>
  <c r="H184" i="23"/>
  <c r="X84" i="25"/>
  <c r="Y84" i="25" s="1"/>
  <c r="F84" i="25"/>
  <c r="U84" i="25"/>
  <c r="V84" i="25" s="1"/>
  <c r="L84" i="25"/>
  <c r="M84" i="25" s="1"/>
  <c r="O84" i="25"/>
  <c r="P84" i="25" s="1"/>
  <c r="R84" i="25"/>
  <c r="I84" i="25"/>
  <c r="J84" i="25" s="1"/>
  <c r="O86" i="25"/>
  <c r="P86" i="25" s="1"/>
  <c r="I86" i="25"/>
  <c r="J86" i="25" s="1"/>
  <c r="L86" i="25"/>
  <c r="M86" i="25" s="1"/>
  <c r="R86" i="25"/>
  <c r="X86" i="25"/>
  <c r="Y86" i="25" s="1"/>
  <c r="F86" i="25"/>
  <c r="U86" i="25"/>
  <c r="V86" i="25" s="1"/>
  <c r="H112" i="24"/>
  <c r="I128" i="23"/>
  <c r="I129" i="23" s="1"/>
  <c r="K118" i="23"/>
  <c r="L118" i="23" s="1"/>
  <c r="R35" i="23"/>
  <c r="G102" i="24" s="1"/>
  <c r="I34" i="23"/>
  <c r="H170" i="23"/>
  <c r="J160" i="23"/>
  <c r="K160" i="23" s="1"/>
  <c r="K62" i="23"/>
  <c r="L62" i="23" s="1"/>
  <c r="D108" i="24" l="1"/>
  <c r="I132" i="23"/>
  <c r="H142" i="23" s="1"/>
  <c r="H143" i="23" s="1"/>
  <c r="D127" i="24"/>
  <c r="AC104" i="24"/>
  <c r="AG149" i="24"/>
  <c r="E149" i="24"/>
  <c r="G86" i="25"/>
  <c r="D86" i="25"/>
  <c r="F31" i="32"/>
  <c r="H21" i="32"/>
  <c r="AA126" i="24"/>
  <c r="B128" i="25" s="1"/>
  <c r="AB126" i="24"/>
  <c r="R59" i="23"/>
  <c r="AD104" i="24"/>
  <c r="AA104" i="24" s="1"/>
  <c r="B106" i="25" s="1"/>
  <c r="AG127" i="24"/>
  <c r="E127" i="24"/>
  <c r="G84" i="25"/>
  <c r="D84" i="25"/>
  <c r="D149" i="24"/>
  <c r="AC126" i="24"/>
  <c r="G91" i="25"/>
  <c r="D91" i="25"/>
  <c r="G49" i="31"/>
  <c r="H49" i="31" s="1"/>
  <c r="R102" i="25"/>
  <c r="L102" i="25"/>
  <c r="M102" i="25" s="1"/>
  <c r="F102" i="25"/>
  <c r="U102" i="25"/>
  <c r="V102" i="25" s="1"/>
  <c r="O102" i="25"/>
  <c r="P102" i="25" s="1"/>
  <c r="X102" i="25"/>
  <c r="Y102" i="25" s="1"/>
  <c r="F17" i="31"/>
  <c r="G17" i="31"/>
  <c r="G18" i="31" s="1"/>
  <c r="I7" i="31"/>
  <c r="I170" i="23"/>
  <c r="I171" i="23" s="1"/>
  <c r="AA88" i="24"/>
  <c r="B90" i="25" s="1"/>
  <c r="AB88" i="24"/>
  <c r="R76" i="22"/>
  <c r="R77" i="22"/>
  <c r="G83" i="24" s="1"/>
  <c r="G91" i="24" s="1"/>
  <c r="Q101" i="22"/>
  <c r="R100" i="22"/>
  <c r="F156" i="23"/>
  <c r="F157" i="23" s="1"/>
  <c r="O89" i="25"/>
  <c r="P89" i="25" s="1"/>
  <c r="R89" i="25"/>
  <c r="I89" i="25"/>
  <c r="J89" i="25" s="1"/>
  <c r="U89" i="25"/>
  <c r="V89" i="25" s="1"/>
  <c r="L89" i="25"/>
  <c r="M89" i="25" s="1"/>
  <c r="X89" i="25"/>
  <c r="Y89" i="25" s="1"/>
  <c r="F89" i="25"/>
  <c r="AA86" i="24"/>
  <c r="B88" i="25" s="1"/>
  <c r="AB86" i="24"/>
  <c r="M91" i="24"/>
  <c r="N85" i="24"/>
  <c r="F90" i="23"/>
  <c r="B108" i="24"/>
  <c r="AG108" i="24" s="1"/>
  <c r="D90" i="23"/>
  <c r="E90" i="23" s="1"/>
  <c r="F108" i="24" s="1"/>
  <c r="I104" i="23"/>
  <c r="J104" i="23" s="1"/>
  <c r="G156" i="23"/>
  <c r="G157" i="23" s="1"/>
  <c r="I146" i="23"/>
  <c r="X92" i="25"/>
  <c r="Y92" i="25" s="1"/>
  <c r="O92" i="25"/>
  <c r="P92" i="25" s="1"/>
  <c r="L92" i="25"/>
  <c r="M92" i="25" s="1"/>
  <c r="R92" i="25"/>
  <c r="U92" i="25"/>
  <c r="V92" i="25" s="1"/>
  <c r="F92" i="25"/>
  <c r="I92" i="25"/>
  <c r="J92" i="25" s="1"/>
  <c r="V91" i="25"/>
  <c r="K72" i="23"/>
  <c r="K73" i="23" s="1"/>
  <c r="M62" i="23"/>
  <c r="N62" i="23" s="1"/>
  <c r="J72" i="23"/>
  <c r="J73" i="23" s="1"/>
  <c r="J170" i="23"/>
  <c r="J171" i="23" s="1"/>
  <c r="L160" i="23"/>
  <c r="K170" i="23" s="1"/>
  <c r="K171" i="23" s="1"/>
  <c r="H171" i="23"/>
  <c r="J34" i="23"/>
  <c r="K34" i="23" s="1"/>
  <c r="H44" i="23"/>
  <c r="J128" i="23"/>
  <c r="J129" i="23" s="1"/>
  <c r="K174" i="23"/>
  <c r="J184" i="23" s="1"/>
  <c r="K128" i="23"/>
  <c r="K129" i="23" s="1"/>
  <c r="M118" i="23"/>
  <c r="N118" i="23" s="1"/>
  <c r="H185" i="23"/>
  <c r="H129" i="23"/>
  <c r="J132" i="23" l="1"/>
  <c r="I142" i="23" s="1"/>
  <c r="I143" i="23" s="1"/>
  <c r="AB104" i="24"/>
  <c r="I21" i="32"/>
  <c r="H31" i="32" s="1"/>
  <c r="H32" i="32" s="1"/>
  <c r="G59" i="31"/>
  <c r="G60" i="31" s="1"/>
  <c r="I49" i="31"/>
  <c r="G89" i="25"/>
  <c r="D89" i="25"/>
  <c r="F59" i="31"/>
  <c r="U128" i="25"/>
  <c r="V128" i="25" s="1"/>
  <c r="R128" i="25"/>
  <c r="F128" i="25"/>
  <c r="O128" i="25"/>
  <c r="P128" i="25" s="1"/>
  <c r="X128" i="25"/>
  <c r="Y128" i="25" s="1"/>
  <c r="L128" i="25"/>
  <c r="M128" i="25" s="1"/>
  <c r="I128" i="25"/>
  <c r="J128" i="25" s="1"/>
  <c r="F32" i="32"/>
  <c r="G92" i="25"/>
  <c r="D92" i="25"/>
  <c r="G102" i="25"/>
  <c r="D102" i="25"/>
  <c r="X106" i="25"/>
  <c r="Y106" i="25" s="1"/>
  <c r="U106" i="25"/>
  <c r="V106" i="25" s="1"/>
  <c r="O106" i="25"/>
  <c r="P106" i="25" s="1"/>
  <c r="R106" i="25"/>
  <c r="L106" i="25"/>
  <c r="M106" i="25" s="1"/>
  <c r="F106" i="25"/>
  <c r="I106" i="25"/>
  <c r="J106" i="25" s="1"/>
  <c r="G31" i="32"/>
  <c r="G32" i="32" s="1"/>
  <c r="H17" i="31"/>
  <c r="H18" i="31" s="1"/>
  <c r="J7" i="31"/>
  <c r="F18" i="31"/>
  <c r="H156" i="23"/>
  <c r="H157" i="23" s="1"/>
  <c r="J146" i="23"/>
  <c r="I156" i="23" s="1"/>
  <c r="I157" i="23" s="1"/>
  <c r="H114" i="23"/>
  <c r="H115" i="23" s="1"/>
  <c r="G90" i="23"/>
  <c r="F100" i="23" s="1"/>
  <c r="F101" i="23" s="1"/>
  <c r="O88" i="25"/>
  <c r="P88" i="25" s="1"/>
  <c r="X88" i="25"/>
  <c r="Y88" i="25" s="1"/>
  <c r="U88" i="25"/>
  <c r="V88" i="25" s="1"/>
  <c r="R88" i="25"/>
  <c r="I88" i="25"/>
  <c r="J88" i="25" s="1"/>
  <c r="F88" i="25"/>
  <c r="L88" i="25"/>
  <c r="M88" i="25" s="1"/>
  <c r="R189" i="22"/>
  <c r="B76" i="23"/>
  <c r="Q86" i="22"/>
  <c r="X83" i="24"/>
  <c r="F90" i="25"/>
  <c r="O90" i="25"/>
  <c r="P90" i="25" s="1"/>
  <c r="I90" i="25"/>
  <c r="J90" i="25" s="1"/>
  <c r="L90" i="25"/>
  <c r="M90" i="25" s="1"/>
  <c r="R90" i="25"/>
  <c r="X90" i="25"/>
  <c r="Y90" i="25" s="1"/>
  <c r="U90" i="25"/>
  <c r="V90" i="25" s="1"/>
  <c r="F12" i="38"/>
  <c r="I114" i="23"/>
  <c r="I115" i="23" s="1"/>
  <c r="K104" i="23"/>
  <c r="J114" i="23" s="1"/>
  <c r="J115" i="23" s="1"/>
  <c r="H83" i="24"/>
  <c r="H91" i="24" s="1"/>
  <c r="N91" i="24"/>
  <c r="AC85" i="24"/>
  <c r="R101" i="22"/>
  <c r="AD85" i="24"/>
  <c r="AA85" i="24" s="1"/>
  <c r="B87" i="25" s="1"/>
  <c r="E108" i="24"/>
  <c r="L72" i="23"/>
  <c r="L73" i="23" s="1"/>
  <c r="J185" i="23"/>
  <c r="L128" i="23"/>
  <c r="K132" i="23"/>
  <c r="J142" i="23" s="1"/>
  <c r="I44" i="23"/>
  <c r="I45" i="23" s="1"/>
  <c r="M160" i="23"/>
  <c r="L170" i="23" s="1"/>
  <c r="M72" i="23"/>
  <c r="M73" i="23" s="1"/>
  <c r="O62" i="23"/>
  <c r="P62" i="23" s="1"/>
  <c r="M128" i="23"/>
  <c r="M129" i="23" s="1"/>
  <c r="O118" i="23"/>
  <c r="N128" i="23" s="1"/>
  <c r="N129" i="23" s="1"/>
  <c r="L174" i="23"/>
  <c r="M174" i="23" s="1"/>
  <c r="H45" i="23"/>
  <c r="J44" i="23"/>
  <c r="J45" i="23" s="1"/>
  <c r="L34" i="23"/>
  <c r="K44" i="23" s="1"/>
  <c r="G90" i="25" l="1"/>
  <c r="D90" i="25"/>
  <c r="D128" i="25"/>
  <c r="G128" i="25"/>
  <c r="AA128" i="25" s="1"/>
  <c r="H59" i="31"/>
  <c r="H60" i="31" s="1"/>
  <c r="J49" i="31"/>
  <c r="G106" i="25"/>
  <c r="D106" i="25"/>
  <c r="F60" i="31"/>
  <c r="G88" i="25"/>
  <c r="D88" i="25"/>
  <c r="J21" i="32"/>
  <c r="I17" i="31"/>
  <c r="I18" i="31" s="1"/>
  <c r="K7" i="31"/>
  <c r="N72" i="23"/>
  <c r="N73" i="23" s="1"/>
  <c r="K184" i="23"/>
  <c r="K185" i="23" s="1"/>
  <c r="R87" i="25"/>
  <c r="L87" i="25"/>
  <c r="M87" i="25" s="1"/>
  <c r="U87" i="25"/>
  <c r="V87" i="25" s="1"/>
  <c r="F87" i="25"/>
  <c r="I87" i="25"/>
  <c r="J87" i="25" s="1"/>
  <c r="X87" i="25"/>
  <c r="Y87" i="25" s="1"/>
  <c r="O87" i="25"/>
  <c r="P87" i="25" s="1"/>
  <c r="AB85" i="24"/>
  <c r="L104" i="23"/>
  <c r="K114" i="23" s="1"/>
  <c r="K115" i="23" s="1"/>
  <c r="R86" i="22"/>
  <c r="Q87" i="22"/>
  <c r="Q187" i="22"/>
  <c r="Q188" i="22" s="1"/>
  <c r="K146" i="23"/>
  <c r="L146" i="23" s="1"/>
  <c r="Y83" i="24"/>
  <c r="X91" i="24"/>
  <c r="Z83" i="24"/>
  <c r="B106" i="24"/>
  <c r="D76" i="23"/>
  <c r="F76" i="23"/>
  <c r="B189" i="23"/>
  <c r="H90" i="23"/>
  <c r="I90" i="23" s="1"/>
  <c r="K45" i="23"/>
  <c r="J143" i="23"/>
  <c r="L171" i="23"/>
  <c r="L184" i="23"/>
  <c r="L185" i="23" s="1"/>
  <c r="N174" i="23"/>
  <c r="O72" i="23"/>
  <c r="O73" i="23" s="1"/>
  <c r="Q62" i="23"/>
  <c r="P72" i="23" s="1"/>
  <c r="P73" i="23" s="1"/>
  <c r="M34" i="23"/>
  <c r="L44" i="23" s="1"/>
  <c r="L45" i="23" s="1"/>
  <c r="P118" i="23"/>
  <c r="N160" i="23"/>
  <c r="L132" i="23"/>
  <c r="M132" i="23" s="1"/>
  <c r="L129" i="23"/>
  <c r="K21" i="32" l="1"/>
  <c r="L21" i="32" s="1"/>
  <c r="I59" i="31"/>
  <c r="K49" i="31"/>
  <c r="G100" i="23"/>
  <c r="G101" i="23" s="1"/>
  <c r="I31" i="32"/>
  <c r="G87" i="25"/>
  <c r="D87" i="25"/>
  <c r="J17" i="31"/>
  <c r="L7" i="31"/>
  <c r="M7" i="31" s="1"/>
  <c r="K142" i="23"/>
  <c r="K143" i="23" s="1"/>
  <c r="H100" i="23"/>
  <c r="H101" i="23" s="1"/>
  <c r="J90" i="23"/>
  <c r="F189" i="23"/>
  <c r="G76" i="23"/>
  <c r="F86" i="23" s="1"/>
  <c r="AG106" i="24"/>
  <c r="B114" i="24"/>
  <c r="E106" i="24"/>
  <c r="J156" i="23"/>
  <c r="J157" i="23" s="1"/>
  <c r="AD83" i="24"/>
  <c r="R87" i="22"/>
  <c r="R187" i="22"/>
  <c r="R188" i="22" s="1"/>
  <c r="M104" i="23"/>
  <c r="N104" i="23" s="1"/>
  <c r="E76" i="23"/>
  <c r="D189" i="23"/>
  <c r="D106" i="24"/>
  <c r="D114" i="24" s="1"/>
  <c r="Y91" i="24"/>
  <c r="AC91" i="24" s="1"/>
  <c r="AC83" i="24"/>
  <c r="AB83" i="24" s="1"/>
  <c r="K156" i="23"/>
  <c r="K157" i="23" s="1"/>
  <c r="M146" i="23"/>
  <c r="O160" i="23"/>
  <c r="N170" i="23" s="1"/>
  <c r="N171" i="23" s="1"/>
  <c r="Q118" i="23"/>
  <c r="P128" i="23" s="1"/>
  <c r="P129" i="23" s="1"/>
  <c r="N34" i="23"/>
  <c r="O34" i="23" s="1"/>
  <c r="L142" i="23"/>
  <c r="L143" i="23" s="1"/>
  <c r="N132" i="23"/>
  <c r="M142" i="23" s="1"/>
  <c r="M143" i="23" s="1"/>
  <c r="M170" i="23"/>
  <c r="O128" i="23"/>
  <c r="M184" i="23"/>
  <c r="O174" i="23"/>
  <c r="J59" i="31" l="1"/>
  <c r="J60" i="31" s="1"/>
  <c r="L49" i="31"/>
  <c r="I32" i="32"/>
  <c r="I60" i="31"/>
  <c r="K31" i="32"/>
  <c r="K32" i="32" s="1"/>
  <c r="M21" i="32"/>
  <c r="L114" i="23"/>
  <c r="L115" i="23" s="1"/>
  <c r="K17" i="31"/>
  <c r="K18" i="31" s="1"/>
  <c r="J31" i="32"/>
  <c r="J32" i="32" s="1"/>
  <c r="E114" i="24"/>
  <c r="L17" i="31"/>
  <c r="L18" i="31" s="1"/>
  <c r="N7" i="31"/>
  <c r="J18" i="31"/>
  <c r="L156" i="23"/>
  <c r="L157" i="23" s="1"/>
  <c r="N146" i="23"/>
  <c r="O146" i="23" s="1"/>
  <c r="N156" i="23" s="1"/>
  <c r="N157" i="23" s="1"/>
  <c r="E189" i="23"/>
  <c r="F106" i="24"/>
  <c r="F114" i="24" s="1"/>
  <c r="M114" i="23"/>
  <c r="M115" i="23" s="1"/>
  <c r="O104" i="23"/>
  <c r="F87" i="23"/>
  <c r="F187" i="23"/>
  <c r="F188" i="23" s="1"/>
  <c r="AA83" i="24"/>
  <c r="AD91" i="24"/>
  <c r="Z91" i="24"/>
  <c r="AG114" i="24"/>
  <c r="AH104" i="24"/>
  <c r="H76" i="23"/>
  <c r="G189" i="23"/>
  <c r="G86" i="23"/>
  <c r="K90" i="23"/>
  <c r="I100" i="23"/>
  <c r="I101" i="23" s="1"/>
  <c r="M44" i="23"/>
  <c r="M45" i="23" s="1"/>
  <c r="N184" i="23"/>
  <c r="N185" i="23" s="1"/>
  <c r="P174" i="23"/>
  <c r="Q174" i="23" s="1"/>
  <c r="O129" i="23"/>
  <c r="N44" i="23"/>
  <c r="H30" i="30"/>
  <c r="P34" i="23"/>
  <c r="O44" i="23" s="1"/>
  <c r="O45" i="23" s="1"/>
  <c r="P160" i="23"/>
  <c r="O170" i="23" s="1"/>
  <c r="O171" i="23" s="1"/>
  <c r="M185" i="23"/>
  <c r="M171" i="23"/>
  <c r="O132" i="23"/>
  <c r="P146" i="23"/>
  <c r="O156" i="23" s="1"/>
  <c r="O157" i="23" s="1"/>
  <c r="L31" i="32" l="1"/>
  <c r="N21" i="32"/>
  <c r="K59" i="31"/>
  <c r="M49" i="31"/>
  <c r="K25" i="41"/>
  <c r="M156" i="23"/>
  <c r="M157" i="23" s="1"/>
  <c r="M17" i="31"/>
  <c r="O7" i="31"/>
  <c r="G187" i="23"/>
  <c r="G188" i="23" s="1"/>
  <c r="G87" i="23"/>
  <c r="I76" i="23"/>
  <c r="H189" i="23"/>
  <c r="L90" i="23"/>
  <c r="J100" i="23"/>
  <c r="J101" i="23" s="1"/>
  <c r="AA91" i="24"/>
  <c r="B85" i="25"/>
  <c r="P104" i="23"/>
  <c r="N114" i="23"/>
  <c r="N115" i="23" s="1"/>
  <c r="O184" i="23"/>
  <c r="O185" i="23" s="1"/>
  <c r="P132" i="23"/>
  <c r="O142" i="23" s="1"/>
  <c r="O143" i="23" s="1"/>
  <c r="Q146" i="23"/>
  <c r="P156" i="23" s="1"/>
  <c r="P157" i="23" s="1"/>
  <c r="N142" i="23"/>
  <c r="N143" i="23" s="1"/>
  <c r="Q160" i="23"/>
  <c r="P170" i="23" s="1"/>
  <c r="P171" i="23" s="1"/>
  <c r="Q34" i="23"/>
  <c r="P44" i="23" s="1"/>
  <c r="P45" i="23" s="1"/>
  <c r="N45" i="23"/>
  <c r="P184" i="23"/>
  <c r="P185" i="23" s="1"/>
  <c r="Q179" i="23"/>
  <c r="K60" i="31" l="1"/>
  <c r="L59" i="31"/>
  <c r="L60" i="31" s="1"/>
  <c r="N49" i="31"/>
  <c r="M31" i="32"/>
  <c r="M32" i="32" s="1"/>
  <c r="O21" i="32"/>
  <c r="L32" i="32"/>
  <c r="N17" i="31"/>
  <c r="N18" i="31" s="1"/>
  <c r="P7" i="31"/>
  <c r="Q7" i="31" s="1"/>
  <c r="M18" i="31"/>
  <c r="Q104" i="23"/>
  <c r="Q109" i="23" s="1"/>
  <c r="M90" i="23"/>
  <c r="L100" i="23" s="1"/>
  <c r="L101" i="23" s="1"/>
  <c r="O114" i="23"/>
  <c r="O115" i="23" s="1"/>
  <c r="X85" i="25"/>
  <c r="R85" i="25"/>
  <c r="R81" i="25" s="1"/>
  <c r="R77" i="25" s="1"/>
  <c r="F85" i="25"/>
  <c r="I85" i="25"/>
  <c r="U85" i="25"/>
  <c r="L85" i="25"/>
  <c r="O85" i="25"/>
  <c r="B81" i="25"/>
  <c r="B77" i="25" s="1"/>
  <c r="K100" i="23"/>
  <c r="K101" i="23" s="1"/>
  <c r="H86" i="23"/>
  <c r="I189" i="23"/>
  <c r="J76" i="23"/>
  <c r="Q147" i="23"/>
  <c r="R147" i="23" s="1"/>
  <c r="G111" i="24" s="1"/>
  <c r="R179" i="23"/>
  <c r="M113" i="24" s="1"/>
  <c r="N113" i="24" s="1"/>
  <c r="H111" i="24" s="1"/>
  <c r="R174" i="23"/>
  <c r="R34" i="23"/>
  <c r="Q165" i="23"/>
  <c r="R160" i="23" s="1"/>
  <c r="Q151" i="23"/>
  <c r="P138" i="23"/>
  <c r="R138" i="23" s="1"/>
  <c r="O109" i="24" s="1"/>
  <c r="O17" i="31" l="1"/>
  <c r="O18" i="31" s="1"/>
  <c r="P21" i="32"/>
  <c r="O31" i="32" s="1"/>
  <c r="O32" i="32" s="1"/>
  <c r="D85" i="25"/>
  <c r="D81" i="25" s="1"/>
  <c r="P114" i="23"/>
  <c r="P115" i="23" s="1"/>
  <c r="N31" i="32"/>
  <c r="M59" i="31"/>
  <c r="M60" i="31" s="1"/>
  <c r="O49" i="31"/>
  <c r="P17" i="31"/>
  <c r="R7" i="31"/>
  <c r="Q17" i="31" s="1"/>
  <c r="Q18" i="31" s="1"/>
  <c r="Q132" i="23"/>
  <c r="Q137" i="23" s="1"/>
  <c r="I86" i="23"/>
  <c r="K76" i="23"/>
  <c r="J189" i="23"/>
  <c r="H187" i="23"/>
  <c r="H188" i="23" s="1"/>
  <c r="H87" i="23"/>
  <c r="M85" i="25"/>
  <c r="M81" i="25" s="1"/>
  <c r="L81" i="25"/>
  <c r="L77" i="25" s="1"/>
  <c r="J85" i="25"/>
  <c r="I81" i="25"/>
  <c r="I77" i="25" s="1"/>
  <c r="P85" i="25"/>
  <c r="P81" i="25" s="1"/>
  <c r="P77" i="25" s="1"/>
  <c r="O81" i="25"/>
  <c r="O77" i="25" s="1"/>
  <c r="V85" i="25"/>
  <c r="U81" i="25"/>
  <c r="U77" i="25" s="1"/>
  <c r="G85" i="25"/>
  <c r="G81" i="25" s="1"/>
  <c r="G77" i="25" s="1"/>
  <c r="F81" i="25"/>
  <c r="F77" i="25" s="1"/>
  <c r="Y85" i="25"/>
  <c r="Y81" i="25" s="1"/>
  <c r="Y77" i="25" s="1"/>
  <c r="X81" i="25"/>
  <c r="X77" i="25" s="1"/>
  <c r="G20" i="29"/>
  <c r="G21" i="29"/>
  <c r="Q91" i="23"/>
  <c r="R91" i="23" s="1"/>
  <c r="G108" i="24" s="1"/>
  <c r="R109" i="23"/>
  <c r="M110" i="24" s="1"/>
  <c r="N110" i="24" s="1"/>
  <c r="H108" i="24" s="1"/>
  <c r="N90" i="23"/>
  <c r="M100" i="23" s="1"/>
  <c r="M101" i="23" s="1"/>
  <c r="J18" i="41"/>
  <c r="X112" i="24"/>
  <c r="Y112" i="24" s="1"/>
  <c r="Q170" i="23"/>
  <c r="Q171" i="23" s="1"/>
  <c r="Q191" i="23"/>
  <c r="R191" i="23" s="1"/>
  <c r="R151" i="23"/>
  <c r="M111" i="24" s="1"/>
  <c r="N111" i="24" s="1"/>
  <c r="H109" i="24" s="1"/>
  <c r="Q133" i="23"/>
  <c r="R133" i="23" s="1"/>
  <c r="G109" i="24" s="1"/>
  <c r="B35" i="31"/>
  <c r="X102" i="24"/>
  <c r="Q109" i="24"/>
  <c r="O114" i="24"/>
  <c r="R146" i="23"/>
  <c r="R170" i="23"/>
  <c r="R165" i="23"/>
  <c r="M112" i="24" s="1"/>
  <c r="N112" i="24" s="1"/>
  <c r="H110" i="24" s="1"/>
  <c r="Q105" i="23"/>
  <c r="Q44" i="23"/>
  <c r="X113" i="24"/>
  <c r="Q184" i="23"/>
  <c r="Q190" i="23"/>
  <c r="R190" i="23" s="1"/>
  <c r="M78" i="25"/>
  <c r="M32" i="25"/>
  <c r="M31" i="25" s="1"/>
  <c r="M9" i="25"/>
  <c r="M55" i="25"/>
  <c r="M54" i="25" s="1"/>
  <c r="Z112" i="24" l="1"/>
  <c r="P142" i="23"/>
  <c r="P143" i="23" s="1"/>
  <c r="P49" i="31"/>
  <c r="O59" i="31" s="1"/>
  <c r="O60" i="31" s="1"/>
  <c r="N59" i="31"/>
  <c r="N60" i="31" s="1"/>
  <c r="N32" i="32"/>
  <c r="Q21" i="32"/>
  <c r="R21" i="32" s="1"/>
  <c r="M77" i="25"/>
  <c r="X124" i="24"/>
  <c r="B7" i="32"/>
  <c r="P18" i="31"/>
  <c r="R17" i="31"/>
  <c r="O90" i="23"/>
  <c r="N100" i="23" s="1"/>
  <c r="N101" i="23" s="1"/>
  <c r="G23" i="29"/>
  <c r="J86" i="23"/>
  <c r="K189" i="23"/>
  <c r="L76" i="23"/>
  <c r="I87" i="23"/>
  <c r="I187" i="23"/>
  <c r="I188" i="23" s="1"/>
  <c r="Y113" i="24"/>
  <c r="Z113" i="24"/>
  <c r="R105" i="23"/>
  <c r="G110" i="24" s="1"/>
  <c r="R104" i="23"/>
  <c r="Q185" i="23"/>
  <c r="R184" i="23"/>
  <c r="Q45" i="23"/>
  <c r="R44" i="23"/>
  <c r="B147" i="31"/>
  <c r="X111" i="24"/>
  <c r="Q156" i="23"/>
  <c r="P109" i="24"/>
  <c r="Q114" i="24"/>
  <c r="Y102" i="24"/>
  <c r="Z102" i="24" s="1"/>
  <c r="D135" i="24"/>
  <c r="AC112" i="24"/>
  <c r="R132" i="23"/>
  <c r="R171" i="23"/>
  <c r="AD112" i="24"/>
  <c r="AA112" i="24" s="1"/>
  <c r="B114" i="25" s="1"/>
  <c r="P114" i="24"/>
  <c r="B125" i="24"/>
  <c r="D35" i="31"/>
  <c r="E35" i="31"/>
  <c r="F35" i="31"/>
  <c r="C35" i="31"/>
  <c r="R137" i="23"/>
  <c r="M109" i="24" s="1"/>
  <c r="N109" i="24" s="1"/>
  <c r="H107" i="24" s="1"/>
  <c r="Q119" i="23"/>
  <c r="M12" i="25"/>
  <c r="M8" i="25" s="1"/>
  <c r="G22" i="30" l="1"/>
  <c r="E8" i="4"/>
  <c r="Q31" i="32"/>
  <c r="Q32" i="32" s="1"/>
  <c r="X149" i="24"/>
  <c r="B21" i="33"/>
  <c r="P31" i="32"/>
  <c r="P55" i="31"/>
  <c r="R55" i="31" s="1"/>
  <c r="O127" i="24" s="1"/>
  <c r="AB112" i="24"/>
  <c r="AD124" i="24"/>
  <c r="R18" i="31"/>
  <c r="D7" i="32"/>
  <c r="B147" i="24"/>
  <c r="F7" i="32"/>
  <c r="G7" i="32" s="1"/>
  <c r="E7" i="32"/>
  <c r="F147" i="24" s="1"/>
  <c r="Y124" i="24"/>
  <c r="Z124" i="24"/>
  <c r="K86" i="23"/>
  <c r="L189" i="23"/>
  <c r="M76" i="23"/>
  <c r="J87" i="23"/>
  <c r="J187" i="23"/>
  <c r="J188" i="23" s="1"/>
  <c r="P90" i="23"/>
  <c r="Q90" i="23" s="1"/>
  <c r="F125" i="24"/>
  <c r="R114" i="25"/>
  <c r="I114" i="25"/>
  <c r="J114" i="25" s="1"/>
  <c r="U114" i="25"/>
  <c r="V114" i="25" s="1"/>
  <c r="F114" i="25"/>
  <c r="O114" i="25"/>
  <c r="P114" i="25" s="1"/>
  <c r="X114" i="25"/>
  <c r="Y114" i="25" s="1"/>
  <c r="L114" i="25"/>
  <c r="M114" i="25" s="1"/>
  <c r="Q142" i="23"/>
  <c r="B133" i="31"/>
  <c r="X109" i="24"/>
  <c r="D125" i="24"/>
  <c r="E125" i="24" s="1"/>
  <c r="AC102" i="24"/>
  <c r="G5" i="3"/>
  <c r="G6" i="3" s="1"/>
  <c r="Q157" i="23"/>
  <c r="R156" i="23"/>
  <c r="D147" i="31"/>
  <c r="B134" i="24"/>
  <c r="E147" i="31"/>
  <c r="F134" i="24" s="1"/>
  <c r="C147" i="31"/>
  <c r="C134" i="24" s="1"/>
  <c r="F147" i="31"/>
  <c r="D136" i="24"/>
  <c r="AC113" i="24"/>
  <c r="R119" i="23"/>
  <c r="G107" i="24" s="1"/>
  <c r="R118" i="23"/>
  <c r="C125" i="24"/>
  <c r="G35" i="31"/>
  <c r="AG125" i="24"/>
  <c r="Y111" i="24"/>
  <c r="Z111" i="24" s="1"/>
  <c r="R45" i="23"/>
  <c r="AD102" i="24"/>
  <c r="AA102" i="24" s="1"/>
  <c r="R185" i="23"/>
  <c r="AD113" i="24"/>
  <c r="B105" i="31"/>
  <c r="X110" i="24"/>
  <c r="Q114" i="23"/>
  <c r="Q49" i="31" l="1"/>
  <c r="P59" i="31" s="1"/>
  <c r="P60" i="31" s="1"/>
  <c r="F17" i="7"/>
  <c r="N17" i="7" s="1"/>
  <c r="F23" i="7"/>
  <c r="N23" i="7" s="1"/>
  <c r="P32" i="32"/>
  <c r="R31" i="32"/>
  <c r="G114" i="25"/>
  <c r="D114" i="25"/>
  <c r="B172" i="24"/>
  <c r="F21" i="33"/>
  <c r="D21" i="33"/>
  <c r="E21" i="33"/>
  <c r="F172" i="24" s="1"/>
  <c r="O100" i="23"/>
  <c r="O101" i="23" s="1"/>
  <c r="R49" i="31"/>
  <c r="Y149" i="24"/>
  <c r="Z149" i="24"/>
  <c r="P127" i="24"/>
  <c r="Q127" i="24"/>
  <c r="J22" i="41"/>
  <c r="G20" i="30"/>
  <c r="AG147" i="24"/>
  <c r="E147" i="24"/>
  <c r="D147" i="24"/>
  <c r="AC124" i="24"/>
  <c r="F17" i="32"/>
  <c r="H7" i="32"/>
  <c r="AA124" i="24"/>
  <c r="B125" i="25" s="1"/>
  <c r="AB124" i="24"/>
  <c r="P100" i="23"/>
  <c r="Q95" i="23"/>
  <c r="L86" i="23"/>
  <c r="M189" i="23"/>
  <c r="N76" i="23"/>
  <c r="K87" i="23"/>
  <c r="K187" i="23"/>
  <c r="K188" i="23" s="1"/>
  <c r="Y110" i="24"/>
  <c r="Z110" i="24" s="1"/>
  <c r="AB113" i="24"/>
  <c r="AA113" i="24"/>
  <c r="B115" i="25" s="1"/>
  <c r="AH123" i="24"/>
  <c r="Q115" i="23"/>
  <c r="R114" i="23"/>
  <c r="B133" i="24"/>
  <c r="C105" i="31"/>
  <c r="C133" i="24" s="1"/>
  <c r="E105" i="31"/>
  <c r="F133" i="24" s="1"/>
  <c r="F105" i="31"/>
  <c r="G105" i="31" s="1"/>
  <c r="D105" i="31"/>
  <c r="AC111" i="24"/>
  <c r="D134" i="24"/>
  <c r="E134" i="24" s="1"/>
  <c r="X107" i="24"/>
  <c r="B119" i="31"/>
  <c r="Q128" i="23"/>
  <c r="G147" i="31"/>
  <c r="F157" i="31" s="1"/>
  <c r="Y109" i="24"/>
  <c r="Z109" i="24" s="1"/>
  <c r="Q143" i="23"/>
  <c r="R142" i="23"/>
  <c r="B103" i="25"/>
  <c r="F45" i="31"/>
  <c r="H35" i="31"/>
  <c r="G45" i="31" s="1"/>
  <c r="AG134" i="24"/>
  <c r="R157" i="23"/>
  <c r="AD111" i="24"/>
  <c r="AB102" i="24"/>
  <c r="C133" i="31"/>
  <c r="C132" i="24" s="1"/>
  <c r="B132" i="24"/>
  <c r="AG132" i="24" s="1"/>
  <c r="E133" i="31"/>
  <c r="F132" i="24" s="1"/>
  <c r="P139" i="31"/>
  <c r="R139" i="31" s="1"/>
  <c r="O132" i="24" s="1"/>
  <c r="D133" i="31"/>
  <c r="F133" i="31"/>
  <c r="G133" i="31" s="1"/>
  <c r="AB17" i="5"/>
  <c r="V17" i="5"/>
  <c r="J17" i="5"/>
  <c r="E7" i="1"/>
  <c r="I10" i="5"/>
  <c r="L10" i="5" s="1"/>
  <c r="I11" i="5"/>
  <c r="L11" i="5" s="1"/>
  <c r="I12" i="5"/>
  <c r="L12" i="5" s="1"/>
  <c r="I13" i="5"/>
  <c r="L13" i="5" s="1"/>
  <c r="I14" i="5"/>
  <c r="L14" i="5" s="1"/>
  <c r="I15" i="5"/>
  <c r="L15" i="5" s="1"/>
  <c r="I16" i="5"/>
  <c r="L16" i="5" s="1"/>
  <c r="O12" i="5"/>
  <c r="U12" i="5" s="1"/>
  <c r="O14" i="5"/>
  <c r="U14" i="5" s="1"/>
  <c r="L7" i="5"/>
  <c r="L8" i="5"/>
  <c r="I9" i="5"/>
  <c r="L9" i="5" s="1"/>
  <c r="L6" i="5"/>
  <c r="E11" i="1"/>
  <c r="E10" i="1"/>
  <c r="E9" i="1"/>
  <c r="E8" i="1"/>
  <c r="E6" i="1"/>
  <c r="G8" i="3" l="1"/>
  <c r="G13" i="3" s="1"/>
  <c r="G7" i="50" s="1"/>
  <c r="G6" i="50" s="1"/>
  <c r="D172" i="24"/>
  <c r="AC149" i="24"/>
  <c r="O10" i="5"/>
  <c r="U10" i="5" s="1"/>
  <c r="B49" i="32"/>
  <c r="X127" i="24"/>
  <c r="Q59" i="31"/>
  <c r="G21" i="33"/>
  <c r="H21" i="33" s="1"/>
  <c r="R32" i="32"/>
  <c r="AD149" i="24"/>
  <c r="AG172" i="24"/>
  <c r="E172" i="24"/>
  <c r="O15" i="5"/>
  <c r="U15" i="5" s="1"/>
  <c r="O13" i="5"/>
  <c r="R13" i="5" s="1"/>
  <c r="O11" i="5"/>
  <c r="R11" i="5" s="1"/>
  <c r="G17" i="32"/>
  <c r="G18" i="32" s="1"/>
  <c r="I7" i="32"/>
  <c r="H17" i="32" s="1"/>
  <c r="R125" i="25"/>
  <c r="U125" i="25"/>
  <c r="V125" i="25" s="1"/>
  <c r="L125" i="25"/>
  <c r="M125" i="25" s="1"/>
  <c r="F125" i="25"/>
  <c r="X125" i="25"/>
  <c r="Y125" i="25" s="1"/>
  <c r="O125" i="25"/>
  <c r="P125" i="25" s="1"/>
  <c r="F18" i="32"/>
  <c r="M86" i="23"/>
  <c r="N189" i="23"/>
  <c r="O76" i="23"/>
  <c r="N86" i="23" s="1"/>
  <c r="L187" i="23"/>
  <c r="L188" i="23" s="1"/>
  <c r="L87" i="23"/>
  <c r="R90" i="23"/>
  <c r="Q77" i="23"/>
  <c r="R77" i="23" s="1"/>
  <c r="G106" i="24" s="1"/>
  <c r="R95" i="23"/>
  <c r="M108" i="24" s="1"/>
  <c r="N108" i="24" s="1"/>
  <c r="H106" i="24" s="1"/>
  <c r="P101" i="23"/>
  <c r="F158" i="31"/>
  <c r="F143" i="31"/>
  <c r="H133" i="31"/>
  <c r="G143" i="31" s="1"/>
  <c r="G144" i="31" s="1"/>
  <c r="Q132" i="24"/>
  <c r="Q137" i="24" s="1"/>
  <c r="U103" i="25"/>
  <c r="O103" i="25"/>
  <c r="X103" i="25"/>
  <c r="B101" i="25"/>
  <c r="I103" i="25"/>
  <c r="R103" i="25"/>
  <c r="R101" i="25" s="1"/>
  <c r="F103" i="25"/>
  <c r="L103" i="25"/>
  <c r="R143" i="23"/>
  <c r="AD109" i="24"/>
  <c r="AA109" i="24" s="1"/>
  <c r="B111" i="25" s="1"/>
  <c r="Q129" i="23"/>
  <c r="R128" i="23"/>
  <c r="Z107" i="24"/>
  <c r="Y107" i="24"/>
  <c r="F115" i="31"/>
  <c r="H105" i="31"/>
  <c r="R115" i="23"/>
  <c r="AD110" i="24"/>
  <c r="R115" i="25"/>
  <c r="F115" i="25"/>
  <c r="X115" i="25"/>
  <c r="Y115" i="25" s="1"/>
  <c r="I115" i="25"/>
  <c r="J115" i="25" s="1"/>
  <c r="O115" i="25"/>
  <c r="P115" i="25" s="1"/>
  <c r="U115" i="25"/>
  <c r="V115" i="25" s="1"/>
  <c r="L115" i="25"/>
  <c r="M115" i="25" s="1"/>
  <c r="E16" i="38"/>
  <c r="F16" i="38" s="1"/>
  <c r="AA111" i="24"/>
  <c r="B113" i="25" s="1"/>
  <c r="AB111" i="24"/>
  <c r="G46" i="31"/>
  <c r="F46" i="31"/>
  <c r="E15" i="38"/>
  <c r="D132" i="24"/>
  <c r="E132" i="24" s="1"/>
  <c r="AC109" i="24"/>
  <c r="H147" i="31"/>
  <c r="I147" i="31" s="1"/>
  <c r="B153" i="24"/>
  <c r="D119" i="31"/>
  <c r="B130" i="24"/>
  <c r="F119" i="31"/>
  <c r="G119" i="31" s="1"/>
  <c r="P125" i="31"/>
  <c r="R125" i="31" s="1"/>
  <c r="O130" i="24" s="1"/>
  <c r="C119" i="31"/>
  <c r="C130" i="24" s="1"/>
  <c r="AG133" i="24"/>
  <c r="D133" i="24"/>
  <c r="E133" i="24" s="1"/>
  <c r="AC110" i="24"/>
  <c r="O16" i="5"/>
  <c r="R16" i="5" s="1"/>
  <c r="H17" i="14"/>
  <c r="H3" i="43" s="1"/>
  <c r="E17" i="14"/>
  <c r="E3" i="43" s="1"/>
  <c r="G17" i="14"/>
  <c r="G3" i="43" s="1"/>
  <c r="R7" i="5"/>
  <c r="R14" i="5"/>
  <c r="AA14" i="5"/>
  <c r="AD14" i="5" s="1"/>
  <c r="X14" i="5"/>
  <c r="AA12" i="5"/>
  <c r="AD12" i="5" s="1"/>
  <c r="X12" i="5"/>
  <c r="R12" i="5"/>
  <c r="U13" i="5"/>
  <c r="AA15" i="5"/>
  <c r="AD15" i="5" s="1"/>
  <c r="X15" i="5"/>
  <c r="R15" i="5"/>
  <c r="AA10" i="5"/>
  <c r="AD10" i="5" s="1"/>
  <c r="X10" i="5"/>
  <c r="R10" i="5"/>
  <c r="U11" i="5"/>
  <c r="L17" i="5"/>
  <c r="O9" i="5"/>
  <c r="F15" i="5"/>
  <c r="G15" i="5" s="1"/>
  <c r="H15" i="5" s="1"/>
  <c r="F14" i="5"/>
  <c r="G14" i="5" s="1"/>
  <c r="H14" i="5" s="1"/>
  <c r="F13" i="5"/>
  <c r="G13" i="5" s="1"/>
  <c r="H13" i="5" s="1"/>
  <c r="F12" i="5"/>
  <c r="G12" i="5" s="1"/>
  <c r="H12" i="5" s="1"/>
  <c r="F11" i="5"/>
  <c r="G11" i="5" s="1"/>
  <c r="H11" i="5" s="1"/>
  <c r="F10" i="5"/>
  <c r="F9" i="5"/>
  <c r="F8" i="5"/>
  <c r="F7" i="5"/>
  <c r="F5" i="8"/>
  <c r="C34" i="5"/>
  <c r="F3" i="38"/>
  <c r="G6" i="53" l="1"/>
  <c r="G5" i="50"/>
  <c r="D103" i="25"/>
  <c r="D101" i="25" s="1"/>
  <c r="F31" i="33"/>
  <c r="G31" i="33"/>
  <c r="G32" i="33" s="1"/>
  <c r="I21" i="33"/>
  <c r="F32" i="33"/>
  <c r="AB149" i="24"/>
  <c r="AA149" i="24"/>
  <c r="B151" i="25" s="1"/>
  <c r="Q60" i="31"/>
  <c r="R59" i="31"/>
  <c r="D49" i="32"/>
  <c r="F49" i="32"/>
  <c r="C49" i="32"/>
  <c r="C150" i="24" s="1"/>
  <c r="B150" i="24"/>
  <c r="G115" i="25"/>
  <c r="D115" i="25"/>
  <c r="G125" i="25"/>
  <c r="AA125" i="25" s="1"/>
  <c r="D125" i="25"/>
  <c r="Y127" i="24"/>
  <c r="Z127" i="24"/>
  <c r="H16" i="38"/>
  <c r="H12" i="30"/>
  <c r="P43" i="5"/>
  <c r="C5" i="40"/>
  <c r="G10" i="5"/>
  <c r="H10" i="5" s="1"/>
  <c r="C6" i="40"/>
  <c r="P42" i="5"/>
  <c r="C4" i="40"/>
  <c r="P41" i="5"/>
  <c r="C3" i="40"/>
  <c r="G7" i="5"/>
  <c r="H7" i="5" s="1"/>
  <c r="AB109" i="24"/>
  <c r="H18" i="32"/>
  <c r="J7" i="32"/>
  <c r="K7" i="32" s="1"/>
  <c r="P132" i="24"/>
  <c r="N187" i="23"/>
  <c r="N188" i="23" s="1"/>
  <c r="N87" i="23"/>
  <c r="B91" i="31"/>
  <c r="X108" i="24"/>
  <c r="Q100" i="23"/>
  <c r="P76" i="23"/>
  <c r="O189" i="23"/>
  <c r="O86" i="23"/>
  <c r="M187" i="23"/>
  <c r="M188" i="23" s="1"/>
  <c r="M87" i="23"/>
  <c r="P130" i="24"/>
  <c r="O137" i="24"/>
  <c r="E130" i="24"/>
  <c r="AG130" i="24"/>
  <c r="AG153" i="24"/>
  <c r="E153" i="24"/>
  <c r="G157" i="31"/>
  <c r="F116" i="31"/>
  <c r="M103" i="25"/>
  <c r="M101" i="25" s="1"/>
  <c r="L101" i="25"/>
  <c r="P103" i="25"/>
  <c r="P101" i="25" s="1"/>
  <c r="O101" i="25"/>
  <c r="H5" i="3"/>
  <c r="H6" i="3" s="1"/>
  <c r="I133" i="31"/>
  <c r="H143" i="31" s="1"/>
  <c r="F129" i="31"/>
  <c r="H119" i="31"/>
  <c r="G129" i="31" s="1"/>
  <c r="G130" i="31" s="1"/>
  <c r="H157" i="31"/>
  <c r="H158" i="31" s="1"/>
  <c r="J147" i="31"/>
  <c r="I157" i="31" s="1"/>
  <c r="I158" i="31" s="1"/>
  <c r="F15" i="38"/>
  <c r="X113" i="25"/>
  <c r="Y113" i="25" s="1"/>
  <c r="R113" i="25"/>
  <c r="I113" i="25"/>
  <c r="J113" i="25" s="1"/>
  <c r="F113" i="25"/>
  <c r="U113" i="25"/>
  <c r="V113" i="25" s="1"/>
  <c r="L113" i="25"/>
  <c r="M113" i="25" s="1"/>
  <c r="O113" i="25"/>
  <c r="P113" i="25" s="1"/>
  <c r="AA110" i="24"/>
  <c r="B112" i="25" s="1"/>
  <c r="AB110" i="24"/>
  <c r="G115" i="31"/>
  <c r="G116" i="31" s="1"/>
  <c r="I105" i="31"/>
  <c r="D130" i="24"/>
  <c r="AC107" i="24"/>
  <c r="AD107" i="24"/>
  <c r="R129" i="23"/>
  <c r="R111" i="25"/>
  <c r="X111" i="25"/>
  <c r="Y111" i="25" s="1"/>
  <c r="F111" i="25"/>
  <c r="I111" i="25"/>
  <c r="J111" i="25" s="1"/>
  <c r="O111" i="25"/>
  <c r="P111" i="25" s="1"/>
  <c r="L111" i="25"/>
  <c r="M111" i="25" s="1"/>
  <c r="U111" i="25"/>
  <c r="V111" i="25" s="1"/>
  <c r="F101" i="25"/>
  <c r="G103" i="25"/>
  <c r="G101" i="25" s="1"/>
  <c r="J103" i="25"/>
  <c r="I101" i="25"/>
  <c r="X101" i="25"/>
  <c r="Y103" i="25"/>
  <c r="Y101" i="25" s="1"/>
  <c r="U101" i="25"/>
  <c r="V103" i="25"/>
  <c r="V101" i="25" s="1"/>
  <c r="F144" i="31"/>
  <c r="E4" i="43"/>
  <c r="U16" i="5"/>
  <c r="X16" i="5" s="1"/>
  <c r="AA13" i="5"/>
  <c r="AD13" i="5" s="1"/>
  <c r="X13" i="5"/>
  <c r="AA16" i="5"/>
  <c r="AD16" i="5" s="1"/>
  <c r="AA11" i="5"/>
  <c r="AD11" i="5" s="1"/>
  <c r="X11" i="5"/>
  <c r="R8" i="5"/>
  <c r="U9" i="5"/>
  <c r="R9" i="5"/>
  <c r="G8" i="5"/>
  <c r="G9" i="5"/>
  <c r="AH8" i="5" s="1"/>
  <c r="C27" i="7"/>
  <c r="F16" i="5"/>
  <c r="G16" i="5" s="1"/>
  <c r="H16" i="5" s="1"/>
  <c r="A35" i="11"/>
  <c r="A36" i="11"/>
  <c r="A25" i="11"/>
  <c r="A26" i="11"/>
  <c r="A27" i="11"/>
  <c r="A28" i="11"/>
  <c r="A29" i="11"/>
  <c r="A30" i="11"/>
  <c r="A31" i="11"/>
  <c r="A32" i="11"/>
  <c r="A33" i="11"/>
  <c r="A34" i="11"/>
  <c r="A20" i="11"/>
  <c r="A19" i="11"/>
  <c r="A18" i="11"/>
  <c r="A17" i="11"/>
  <c r="A16" i="11"/>
  <c r="A15" i="11"/>
  <c r="A14" i="11"/>
  <c r="A13" i="11"/>
  <c r="A12" i="11"/>
  <c r="A11" i="11"/>
  <c r="A10" i="11"/>
  <c r="A9" i="11"/>
  <c r="A8" i="11"/>
  <c r="H8" i="3" l="1"/>
  <c r="H13" i="3" s="1"/>
  <c r="H7" i="50" s="1"/>
  <c r="H6" i="50" s="1"/>
  <c r="I17" i="32"/>
  <c r="I18" i="32" s="1"/>
  <c r="E150" i="24"/>
  <c r="AG150" i="24"/>
  <c r="G113" i="25"/>
  <c r="D113" i="25"/>
  <c r="G49" i="32"/>
  <c r="F59" i="32" s="1"/>
  <c r="U151" i="25"/>
  <c r="V151" i="25" s="1"/>
  <c r="L151" i="25"/>
  <c r="M151" i="25" s="1"/>
  <c r="F151" i="25"/>
  <c r="O151" i="25"/>
  <c r="P151" i="25" s="1"/>
  <c r="I151" i="25"/>
  <c r="J151" i="25" s="1"/>
  <c r="X151" i="25"/>
  <c r="Y151" i="25" s="1"/>
  <c r="R151" i="25"/>
  <c r="H31" i="33"/>
  <c r="J21" i="33"/>
  <c r="R60" i="31"/>
  <c r="AD127" i="24"/>
  <c r="AA127" i="24" s="1"/>
  <c r="B129" i="25" s="1"/>
  <c r="G111" i="25"/>
  <c r="D111" i="25"/>
  <c r="AC127" i="24"/>
  <c r="D150" i="24"/>
  <c r="D6" i="40"/>
  <c r="E6" i="40" s="1"/>
  <c r="D5" i="40"/>
  <c r="E5" i="40" s="1"/>
  <c r="D4" i="40"/>
  <c r="E4" i="40" s="1"/>
  <c r="D3" i="40"/>
  <c r="E3" i="40" s="1"/>
  <c r="J17" i="32"/>
  <c r="J18" i="32" s="1"/>
  <c r="L7" i="32"/>
  <c r="M7" i="32" s="1"/>
  <c r="Q101" i="23"/>
  <c r="R100" i="23"/>
  <c r="B131" i="24"/>
  <c r="E91" i="31"/>
  <c r="F131" i="24" s="1"/>
  <c r="C91" i="31"/>
  <c r="C131" i="24" s="1"/>
  <c r="D91" i="31"/>
  <c r="F91" i="31"/>
  <c r="G91" i="31" s="1"/>
  <c r="O87" i="23"/>
  <c r="O187" i="23"/>
  <c r="O188" i="23" s="1"/>
  <c r="Q76" i="23"/>
  <c r="P189" i="23"/>
  <c r="Y108" i="24"/>
  <c r="Z108" i="24"/>
  <c r="H144" i="31"/>
  <c r="J105" i="31"/>
  <c r="K105" i="31" s="1"/>
  <c r="AB107" i="24"/>
  <c r="AA107" i="24"/>
  <c r="B109" i="25" s="1"/>
  <c r="H115" i="31"/>
  <c r="H116" i="31" s="1"/>
  <c r="K147" i="31"/>
  <c r="J157" i="31" s="1"/>
  <c r="J158" i="31" s="1"/>
  <c r="F130" i="31"/>
  <c r="P137" i="24"/>
  <c r="F112" i="25"/>
  <c r="U112" i="25"/>
  <c r="V112" i="25" s="1"/>
  <c r="I112" i="25"/>
  <c r="J112" i="25" s="1"/>
  <c r="L112" i="25"/>
  <c r="M112" i="25" s="1"/>
  <c r="R112" i="25"/>
  <c r="O112" i="25"/>
  <c r="P112" i="25" s="1"/>
  <c r="X112" i="25"/>
  <c r="Y112" i="25" s="1"/>
  <c r="I119" i="31"/>
  <c r="H129" i="31" s="1"/>
  <c r="H130" i="31" s="1"/>
  <c r="J133" i="31"/>
  <c r="I143" i="31" s="1"/>
  <c r="G158" i="31"/>
  <c r="AD7" i="5"/>
  <c r="X7" i="5"/>
  <c r="AH7" i="5"/>
  <c r="H8" i="5"/>
  <c r="X8" i="5"/>
  <c r="X6" i="5"/>
  <c r="H9" i="5"/>
  <c r="X9" i="5"/>
  <c r="AA9" i="5"/>
  <c r="AD9" i="5" s="1"/>
  <c r="C116" i="7"/>
  <c r="C111" i="7"/>
  <c r="F109" i="7"/>
  <c r="D109" i="7"/>
  <c r="C109" i="7"/>
  <c r="D104" i="7"/>
  <c r="C104" i="7"/>
  <c r="C103" i="7" s="1"/>
  <c r="F102" i="7"/>
  <c r="D102" i="7"/>
  <c r="C102" i="7"/>
  <c r="D97" i="7"/>
  <c r="F97" i="7"/>
  <c r="C97" i="7"/>
  <c r="F95" i="7"/>
  <c r="C95" i="7"/>
  <c r="D95" i="7"/>
  <c r="D90" i="7"/>
  <c r="C90" i="7"/>
  <c r="F83" i="7"/>
  <c r="D83" i="7"/>
  <c r="C88" i="7"/>
  <c r="D88" i="7" s="1"/>
  <c r="E88" i="7" s="1"/>
  <c r="C83" i="7"/>
  <c r="D81" i="7"/>
  <c r="F81" i="7"/>
  <c r="C81" i="7"/>
  <c r="C76" i="7"/>
  <c r="D74" i="7"/>
  <c r="F74" i="7"/>
  <c r="C74" i="7"/>
  <c r="C69" i="7"/>
  <c r="D67" i="7"/>
  <c r="F67" i="7"/>
  <c r="C67" i="7"/>
  <c r="C62" i="7"/>
  <c r="C55" i="7"/>
  <c r="F60" i="7"/>
  <c r="D60" i="7"/>
  <c r="C60" i="7"/>
  <c r="D53" i="7"/>
  <c r="F53" i="7"/>
  <c r="C53" i="7"/>
  <c r="C48" i="7"/>
  <c r="D46" i="7"/>
  <c r="F46" i="7"/>
  <c r="C46" i="7"/>
  <c r="C34" i="7"/>
  <c r="D39" i="7"/>
  <c r="E39" i="7"/>
  <c r="M39" i="7" s="1"/>
  <c r="F39" i="7"/>
  <c r="C39" i="7"/>
  <c r="C32" i="7"/>
  <c r="F62" i="7"/>
  <c r="D62" i="7"/>
  <c r="F55" i="7"/>
  <c r="D55" i="7"/>
  <c r="C41" i="7"/>
  <c r="F104" i="7"/>
  <c r="F90" i="7"/>
  <c r="D76" i="7"/>
  <c r="F76" i="7"/>
  <c r="D69" i="7"/>
  <c r="F69" i="7"/>
  <c r="D48" i="7"/>
  <c r="F48" i="7"/>
  <c r="D41" i="7"/>
  <c r="F41" i="7"/>
  <c r="D34" i="7"/>
  <c r="E34" i="7"/>
  <c r="M34" i="7" s="1"/>
  <c r="F34" i="7"/>
  <c r="G20" i="11"/>
  <c r="F17" i="11"/>
  <c r="E18" i="1"/>
  <c r="E19" i="1"/>
  <c r="E20" i="1"/>
  <c r="E21" i="1"/>
  <c r="E22" i="1"/>
  <c r="E14" i="1"/>
  <c r="B110" i="7"/>
  <c r="B103" i="7"/>
  <c r="B96" i="7"/>
  <c r="B89" i="7"/>
  <c r="B82" i="7"/>
  <c r="B75" i="7"/>
  <c r="B68" i="7"/>
  <c r="B61" i="7"/>
  <c r="B54" i="7"/>
  <c r="B47" i="7"/>
  <c r="B40" i="7"/>
  <c r="B33" i="7"/>
  <c r="B26" i="7"/>
  <c r="D115" i="7"/>
  <c r="E115" i="7" s="1"/>
  <c r="D114" i="7"/>
  <c r="E114" i="7" s="1"/>
  <c r="D113" i="7"/>
  <c r="E113" i="7" s="1"/>
  <c r="D112" i="7"/>
  <c r="E112" i="7" s="1"/>
  <c r="D108" i="7"/>
  <c r="E108" i="7" s="1"/>
  <c r="D107" i="7"/>
  <c r="E107" i="7" s="1"/>
  <c r="D106" i="7"/>
  <c r="E106" i="7" s="1"/>
  <c r="D105" i="7"/>
  <c r="E105" i="7" s="1"/>
  <c r="D101" i="7"/>
  <c r="E101" i="7" s="1"/>
  <c r="D100" i="7"/>
  <c r="E100" i="7" s="1"/>
  <c r="D99" i="7"/>
  <c r="E99" i="7" s="1"/>
  <c r="D98" i="7"/>
  <c r="E98" i="7" s="1"/>
  <c r="D94" i="7"/>
  <c r="E94" i="7" s="1"/>
  <c r="D93" i="7"/>
  <c r="E93" i="7" s="1"/>
  <c r="D92" i="7"/>
  <c r="E92" i="7" s="1"/>
  <c r="D91" i="7"/>
  <c r="E91" i="7" s="1"/>
  <c r="D87" i="7"/>
  <c r="E87" i="7" s="1"/>
  <c r="D86" i="7"/>
  <c r="E86" i="7" s="1"/>
  <c r="D85" i="7"/>
  <c r="E85" i="7" s="1"/>
  <c r="D84" i="7"/>
  <c r="E84" i="7" s="1"/>
  <c r="D80" i="7"/>
  <c r="E80" i="7" s="1"/>
  <c r="D79" i="7"/>
  <c r="E79" i="7" s="1"/>
  <c r="D78" i="7"/>
  <c r="E78" i="7" s="1"/>
  <c r="D77" i="7"/>
  <c r="E77" i="7" s="1"/>
  <c r="D73" i="7"/>
  <c r="E73" i="7" s="1"/>
  <c r="D72" i="7"/>
  <c r="E72" i="7" s="1"/>
  <c r="D71" i="7"/>
  <c r="E71" i="7" s="1"/>
  <c r="D70" i="7"/>
  <c r="E70" i="7" s="1"/>
  <c r="D66" i="7"/>
  <c r="E66" i="7" s="1"/>
  <c r="D65" i="7"/>
  <c r="E65" i="7" s="1"/>
  <c r="D64" i="7"/>
  <c r="E64" i="7" s="1"/>
  <c r="D63" i="7"/>
  <c r="E63" i="7" s="1"/>
  <c r="D59" i="7"/>
  <c r="E59" i="7" s="1"/>
  <c r="D58" i="7"/>
  <c r="E58" i="7" s="1"/>
  <c r="D57" i="7"/>
  <c r="E57" i="7" s="1"/>
  <c r="D56" i="7"/>
  <c r="E56" i="7" s="1"/>
  <c r="D52" i="7"/>
  <c r="E52" i="7" s="1"/>
  <c r="D51" i="7"/>
  <c r="E51" i="7" s="1"/>
  <c r="D50" i="7"/>
  <c r="E50" i="7" s="1"/>
  <c r="D49" i="7"/>
  <c r="E49" i="7" s="1"/>
  <c r="D45" i="7"/>
  <c r="E45" i="7" s="1"/>
  <c r="D44" i="7"/>
  <c r="E44" i="7" s="1"/>
  <c r="D43" i="7"/>
  <c r="E43" i="7" s="1"/>
  <c r="D42" i="7"/>
  <c r="E42" i="7" s="1"/>
  <c r="D38" i="7"/>
  <c r="E38" i="7" s="1"/>
  <c r="D37" i="7"/>
  <c r="E37" i="7" s="1"/>
  <c r="D36" i="7"/>
  <c r="E36" i="7" s="1"/>
  <c r="D35" i="7"/>
  <c r="E35" i="7" s="1"/>
  <c r="F18" i="11"/>
  <c r="E18" i="11"/>
  <c r="D18" i="11"/>
  <c r="C18" i="11"/>
  <c r="G97" i="7"/>
  <c r="E102" i="7"/>
  <c r="M102" i="7" s="1"/>
  <c r="E17" i="11"/>
  <c r="D17" i="11"/>
  <c r="C17" i="11"/>
  <c r="G90" i="7"/>
  <c r="E90" i="7"/>
  <c r="M90" i="7" s="1"/>
  <c r="F16" i="11"/>
  <c r="E16" i="11"/>
  <c r="D16" i="11"/>
  <c r="C16" i="11"/>
  <c r="G83" i="7"/>
  <c r="E83" i="7"/>
  <c r="M83" i="7" s="1"/>
  <c r="F15" i="11"/>
  <c r="E15" i="11"/>
  <c r="D15" i="11"/>
  <c r="C15" i="11"/>
  <c r="G76" i="7"/>
  <c r="E76" i="7"/>
  <c r="M76" i="7" s="1"/>
  <c r="F19" i="11"/>
  <c r="E19" i="11"/>
  <c r="D19" i="11"/>
  <c r="C19" i="11"/>
  <c r="G104" i="7"/>
  <c r="F14" i="11"/>
  <c r="E14" i="11"/>
  <c r="D14" i="11"/>
  <c r="C14" i="11"/>
  <c r="G69" i="7"/>
  <c r="E69" i="7"/>
  <c r="M69" i="7" s="1"/>
  <c r="F13" i="11"/>
  <c r="E13" i="11"/>
  <c r="D13" i="11"/>
  <c r="C13" i="11"/>
  <c r="G67" i="7"/>
  <c r="E67" i="7"/>
  <c r="M67" i="7" s="1"/>
  <c r="F8" i="11"/>
  <c r="F12" i="11"/>
  <c r="E12" i="11"/>
  <c r="D12" i="11"/>
  <c r="C12" i="11"/>
  <c r="G60" i="7"/>
  <c r="E60" i="7"/>
  <c r="M60" i="7" s="1"/>
  <c r="F11" i="11"/>
  <c r="E11" i="11"/>
  <c r="D11" i="11"/>
  <c r="C11" i="11"/>
  <c r="G53" i="7"/>
  <c r="E53" i="7"/>
  <c r="M53" i="7" s="1"/>
  <c r="F10" i="11"/>
  <c r="E10" i="11"/>
  <c r="D10" i="11"/>
  <c r="C10" i="11"/>
  <c r="G46" i="7"/>
  <c r="E46" i="7"/>
  <c r="M46" i="7" s="1"/>
  <c r="F9" i="11"/>
  <c r="E9" i="11"/>
  <c r="D9" i="11"/>
  <c r="C9" i="11"/>
  <c r="G39" i="7"/>
  <c r="E8" i="11"/>
  <c r="D8" i="11"/>
  <c r="C8" i="11"/>
  <c r="D31" i="7"/>
  <c r="E31" i="7" s="1"/>
  <c r="D30" i="7"/>
  <c r="E30" i="7" s="1"/>
  <c r="D29" i="7"/>
  <c r="E29" i="7" s="1"/>
  <c r="D28" i="7"/>
  <c r="E28" i="7" s="1"/>
  <c r="H6" i="53" l="1"/>
  <c r="H5" i="50"/>
  <c r="AB127" i="24"/>
  <c r="F43" i="7"/>
  <c r="G43" i="7" s="1"/>
  <c r="M43" i="7"/>
  <c r="F64" i="7"/>
  <c r="G64" i="7" s="1"/>
  <c r="M64" i="7"/>
  <c r="F85" i="7"/>
  <c r="G85" i="7" s="1"/>
  <c r="M85" i="7"/>
  <c r="F99" i="7"/>
  <c r="G99" i="7" s="1"/>
  <c r="M99" i="7"/>
  <c r="I31" i="33"/>
  <c r="I32" i="33" s="1"/>
  <c r="K21" i="33"/>
  <c r="L21" i="33" s="1"/>
  <c r="J31" i="33"/>
  <c r="J32" i="33" s="1"/>
  <c r="F37" i="7"/>
  <c r="G37" i="7" s="1"/>
  <c r="M37" i="7"/>
  <c r="F44" i="7"/>
  <c r="G44" i="7" s="1"/>
  <c r="M44" i="7"/>
  <c r="F51" i="7"/>
  <c r="G51" i="7" s="1"/>
  <c r="M51" i="7"/>
  <c r="F58" i="7"/>
  <c r="G58" i="7" s="1"/>
  <c r="M58" i="7"/>
  <c r="F65" i="7"/>
  <c r="G65" i="7" s="1"/>
  <c r="M65" i="7"/>
  <c r="F72" i="7"/>
  <c r="G72" i="7" s="1"/>
  <c r="M72" i="7"/>
  <c r="F79" i="7"/>
  <c r="G79" i="7" s="1"/>
  <c r="M79" i="7"/>
  <c r="F86" i="7"/>
  <c r="G86" i="7" s="1"/>
  <c r="M86" i="7"/>
  <c r="F93" i="7"/>
  <c r="G93" i="7" s="1"/>
  <c r="M93" i="7"/>
  <c r="F100" i="7"/>
  <c r="G100" i="7" s="1"/>
  <c r="M100" i="7"/>
  <c r="F106" i="7"/>
  <c r="G106" i="7" s="1"/>
  <c r="M106" i="7"/>
  <c r="F113" i="7"/>
  <c r="G113" i="7" s="1"/>
  <c r="M113" i="7"/>
  <c r="G112" i="25"/>
  <c r="D112" i="25"/>
  <c r="H32" i="33"/>
  <c r="F60" i="32"/>
  <c r="F31" i="7"/>
  <c r="G31" i="7" s="1"/>
  <c r="M31" i="7"/>
  <c r="F50" i="7"/>
  <c r="G50" i="7" s="1"/>
  <c r="M50" i="7"/>
  <c r="F71" i="7"/>
  <c r="G71" i="7" s="1"/>
  <c r="M71" i="7"/>
  <c r="F92" i="7"/>
  <c r="G92" i="7" s="1"/>
  <c r="M92" i="7"/>
  <c r="F112" i="7"/>
  <c r="G112" i="7" s="1"/>
  <c r="M112" i="7"/>
  <c r="F28" i="7"/>
  <c r="G28" i="7" s="1"/>
  <c r="M28" i="7"/>
  <c r="F29" i="7"/>
  <c r="G29" i="7" s="1"/>
  <c r="M29" i="7"/>
  <c r="F38" i="7"/>
  <c r="G38" i="7" s="1"/>
  <c r="M38" i="7"/>
  <c r="F45" i="7"/>
  <c r="G45" i="7" s="1"/>
  <c r="M45" i="7"/>
  <c r="F52" i="7"/>
  <c r="G52" i="7" s="1"/>
  <c r="M52" i="7"/>
  <c r="F59" i="7"/>
  <c r="G59" i="7" s="1"/>
  <c r="M59" i="7"/>
  <c r="F66" i="7"/>
  <c r="G66" i="7" s="1"/>
  <c r="M66" i="7"/>
  <c r="F73" i="7"/>
  <c r="G73" i="7" s="1"/>
  <c r="M73" i="7"/>
  <c r="F80" i="7"/>
  <c r="G80" i="7" s="1"/>
  <c r="M80" i="7"/>
  <c r="F87" i="7"/>
  <c r="G87" i="7" s="1"/>
  <c r="M87" i="7"/>
  <c r="F94" i="7"/>
  <c r="G94" i="7" s="1"/>
  <c r="M94" i="7"/>
  <c r="F101" i="7"/>
  <c r="G101" i="7" s="1"/>
  <c r="M101" i="7"/>
  <c r="F107" i="7"/>
  <c r="G107" i="7" s="1"/>
  <c r="M107" i="7"/>
  <c r="F114" i="7"/>
  <c r="G114" i="7" s="1"/>
  <c r="M114" i="7"/>
  <c r="U129" i="25"/>
  <c r="V129" i="25" s="1"/>
  <c r="X129" i="25"/>
  <c r="Y129" i="25" s="1"/>
  <c r="R129" i="25"/>
  <c r="L129" i="25"/>
  <c r="M129" i="25" s="1"/>
  <c r="F129" i="25"/>
  <c r="O129" i="25"/>
  <c r="P129" i="25" s="1"/>
  <c r="I129" i="25"/>
  <c r="J129" i="25" s="1"/>
  <c r="D151" i="25"/>
  <c r="G151" i="25"/>
  <c r="AA151" i="25" s="1"/>
  <c r="H49" i="32"/>
  <c r="G59" i="32" s="1"/>
  <c r="F36" i="7"/>
  <c r="G36" i="7" s="1"/>
  <c r="M36" i="7"/>
  <c r="F57" i="7"/>
  <c r="G57" i="7" s="1"/>
  <c r="M57" i="7"/>
  <c r="F78" i="7"/>
  <c r="G78" i="7" s="1"/>
  <c r="M78" i="7"/>
  <c r="F105" i="7"/>
  <c r="G105" i="7" s="1"/>
  <c r="M105" i="7"/>
  <c r="F30" i="7"/>
  <c r="G30" i="7" s="1"/>
  <c r="M30" i="7"/>
  <c r="F35" i="7"/>
  <c r="G35" i="7" s="1"/>
  <c r="M35" i="7"/>
  <c r="F42" i="7"/>
  <c r="G42" i="7" s="1"/>
  <c r="M42" i="7"/>
  <c r="F49" i="7"/>
  <c r="G49" i="7" s="1"/>
  <c r="M49" i="7"/>
  <c r="F56" i="7"/>
  <c r="G56" i="7" s="1"/>
  <c r="M56" i="7"/>
  <c r="F63" i="7"/>
  <c r="G63" i="7" s="1"/>
  <c r="M63" i="7"/>
  <c r="F70" i="7"/>
  <c r="G70" i="7" s="1"/>
  <c r="M70" i="7"/>
  <c r="F77" i="7"/>
  <c r="G77" i="7" s="1"/>
  <c r="M77" i="7"/>
  <c r="F84" i="7"/>
  <c r="G84" i="7" s="1"/>
  <c r="M84" i="7"/>
  <c r="F91" i="7"/>
  <c r="G91" i="7" s="1"/>
  <c r="M91" i="7"/>
  <c r="F98" i="7"/>
  <c r="G98" i="7" s="1"/>
  <c r="M98" i="7"/>
  <c r="F108" i="7"/>
  <c r="G108" i="7" s="1"/>
  <c r="M108" i="7"/>
  <c r="F115" i="7"/>
  <c r="G115" i="7" s="1"/>
  <c r="M115" i="7"/>
  <c r="F88" i="7"/>
  <c r="G88" i="7" s="1"/>
  <c r="M88" i="7"/>
  <c r="C68" i="7"/>
  <c r="K17" i="32"/>
  <c r="K18" i="32" s="1"/>
  <c r="L17" i="32"/>
  <c r="L18" i="32" s="1"/>
  <c r="N7" i="32"/>
  <c r="I115" i="31"/>
  <c r="I116" i="31" s="1"/>
  <c r="D131" i="24"/>
  <c r="AC108" i="24"/>
  <c r="P86" i="23"/>
  <c r="Q189" i="23"/>
  <c r="Q81" i="23"/>
  <c r="AD108" i="24"/>
  <c r="R101" i="23"/>
  <c r="F101" i="31"/>
  <c r="F102" i="31" s="1"/>
  <c r="H91" i="31"/>
  <c r="AG131" i="24"/>
  <c r="E131" i="24"/>
  <c r="I144" i="31"/>
  <c r="J119" i="31"/>
  <c r="K119" i="31" s="1"/>
  <c r="L147" i="31"/>
  <c r="K157" i="31" s="1"/>
  <c r="O109" i="25"/>
  <c r="P109" i="25" s="1"/>
  <c r="F109" i="25"/>
  <c r="X109" i="25"/>
  <c r="Y109" i="25" s="1"/>
  <c r="U109" i="25"/>
  <c r="V109" i="25" s="1"/>
  <c r="R109" i="25"/>
  <c r="L109" i="25"/>
  <c r="M109" i="25" s="1"/>
  <c r="I109" i="25"/>
  <c r="J109" i="25" s="1"/>
  <c r="J115" i="31"/>
  <c r="L105" i="31"/>
  <c r="K115" i="31" s="1"/>
  <c r="K116" i="31" s="1"/>
  <c r="K133" i="31"/>
  <c r="L133" i="31" s="1"/>
  <c r="C82" i="7"/>
  <c r="F21" i="5"/>
  <c r="AD8" i="5"/>
  <c r="AD6" i="5"/>
  <c r="D43" i="1"/>
  <c r="D39" i="1" s="1"/>
  <c r="D46" i="1" s="1"/>
  <c r="C54" i="11"/>
  <c r="X17" i="5"/>
  <c r="G4" i="43" s="1"/>
  <c r="B19" i="11"/>
  <c r="B15" i="11"/>
  <c r="B16" i="11"/>
  <c r="B17" i="11"/>
  <c r="B12" i="11"/>
  <c r="B9" i="11"/>
  <c r="B10" i="11"/>
  <c r="B11" i="11"/>
  <c r="B13" i="11"/>
  <c r="B14" i="11"/>
  <c r="B18" i="11"/>
  <c r="A43" i="11"/>
  <c r="A77" i="11" s="1"/>
  <c r="A94" i="11" s="1"/>
  <c r="A45" i="11"/>
  <c r="A79" i="11" s="1"/>
  <c r="A96" i="11" s="1"/>
  <c r="A47" i="11"/>
  <c r="A81" i="11" s="1"/>
  <c r="A98" i="11" s="1"/>
  <c r="A49" i="11"/>
  <c r="A83" i="11" s="1"/>
  <c r="A100" i="11" s="1"/>
  <c r="A51" i="11"/>
  <c r="A85" i="11" s="1"/>
  <c r="A102" i="11" s="1"/>
  <c r="A53" i="11"/>
  <c r="A87" i="11" s="1"/>
  <c r="A104" i="11" s="1"/>
  <c r="A42" i="11"/>
  <c r="A76" i="11" s="1"/>
  <c r="A93" i="11" s="1"/>
  <c r="A44" i="11"/>
  <c r="A78" i="11" s="1"/>
  <c r="A95" i="11" s="1"/>
  <c r="A46" i="11"/>
  <c r="A80" i="11" s="1"/>
  <c r="A97" i="11" s="1"/>
  <c r="A48" i="11"/>
  <c r="A82" i="11" s="1"/>
  <c r="A99" i="11" s="1"/>
  <c r="A50" i="11"/>
  <c r="A84" i="11" s="1"/>
  <c r="A101" i="11" s="1"/>
  <c r="A52" i="11"/>
  <c r="A86" i="11" s="1"/>
  <c r="A103" i="11" s="1"/>
  <c r="E41" i="7"/>
  <c r="C47" i="7"/>
  <c r="G95" i="7"/>
  <c r="G102" i="7"/>
  <c r="E48" i="7"/>
  <c r="E55" i="7"/>
  <c r="G62" i="7"/>
  <c r="E74" i="7"/>
  <c r="M74" i="7" s="1"/>
  <c r="G81" i="7"/>
  <c r="G14" i="11"/>
  <c r="G19" i="11"/>
  <c r="G15" i="11"/>
  <c r="G16" i="11"/>
  <c r="G17" i="11"/>
  <c r="G34" i="7"/>
  <c r="G41" i="7"/>
  <c r="G48" i="7"/>
  <c r="E104" i="7"/>
  <c r="M104" i="7" s="1"/>
  <c r="G55" i="7"/>
  <c r="G54" i="7" s="1"/>
  <c r="E62" i="7"/>
  <c r="G74" i="7"/>
  <c r="E81" i="7"/>
  <c r="E95" i="7"/>
  <c r="E97" i="7"/>
  <c r="M97" i="7" s="1"/>
  <c r="G18" i="11"/>
  <c r="C96" i="7"/>
  <c r="G109" i="7"/>
  <c r="E109" i="7"/>
  <c r="M109" i="7" s="1"/>
  <c r="C110" i="7"/>
  <c r="G13" i="11"/>
  <c r="G12" i="11"/>
  <c r="G10" i="11"/>
  <c r="G9" i="11"/>
  <c r="G8" i="11"/>
  <c r="D116" i="7"/>
  <c r="E116" i="7" s="1"/>
  <c r="C33" i="7"/>
  <c r="C75" i="7"/>
  <c r="C89" i="7"/>
  <c r="D111" i="7"/>
  <c r="E111" i="7" s="1"/>
  <c r="D47" i="7"/>
  <c r="C26" i="7"/>
  <c r="C54" i="7"/>
  <c r="C61" i="7"/>
  <c r="C40" i="7"/>
  <c r="D103" i="7"/>
  <c r="D54" i="7"/>
  <c r="D61" i="7"/>
  <c r="D89" i="7"/>
  <c r="D75" i="7"/>
  <c r="D33" i="7"/>
  <c r="H18" i="11"/>
  <c r="H16" i="11"/>
  <c r="H14" i="11"/>
  <c r="H11" i="11"/>
  <c r="G11" i="11"/>
  <c r="H10" i="11"/>
  <c r="H9" i="11"/>
  <c r="D40" i="7"/>
  <c r="D68" i="7"/>
  <c r="D82" i="7"/>
  <c r="D96" i="7"/>
  <c r="E96" i="7"/>
  <c r="E82" i="7"/>
  <c r="E68" i="7"/>
  <c r="E33" i="7"/>
  <c r="E6" i="11"/>
  <c r="D6" i="11"/>
  <c r="D20" i="11"/>
  <c r="E20" i="11"/>
  <c r="F20" i="11"/>
  <c r="H120" i="11"/>
  <c r="F3" i="1"/>
  <c r="G3" i="1" s="1"/>
  <c r="H3" i="1" s="1"/>
  <c r="I3" i="1" s="1"/>
  <c r="F14" i="1"/>
  <c r="G14" i="1"/>
  <c r="H14" i="1"/>
  <c r="I14" i="1"/>
  <c r="E31" i="1"/>
  <c r="D8" i="12"/>
  <c r="D30" i="30"/>
  <c r="E8" i="12"/>
  <c r="F31" i="1"/>
  <c r="F23" i="1"/>
  <c r="G31" i="1"/>
  <c r="G23" i="1"/>
  <c r="H31" i="1"/>
  <c r="H23" i="1"/>
  <c r="I31" i="1"/>
  <c r="I23" i="1"/>
  <c r="E12" i="9"/>
  <c r="F12" i="9" s="1"/>
  <c r="G12" i="9" s="1"/>
  <c r="H12" i="9" s="1"/>
  <c r="I12" i="9" s="1"/>
  <c r="J12" i="9" s="1"/>
  <c r="K12" i="9" s="1"/>
  <c r="L12" i="9" s="1"/>
  <c r="M12" i="9" s="1"/>
  <c r="N12" i="9" s="1"/>
  <c r="O12" i="9" s="1"/>
  <c r="D16" i="12"/>
  <c r="D13" i="12" s="1"/>
  <c r="E16" i="12"/>
  <c r="F16" i="12"/>
  <c r="G16" i="12"/>
  <c r="C19" i="12"/>
  <c r="C18" i="12"/>
  <c r="C16" i="12"/>
  <c r="C15" i="12"/>
  <c r="D5" i="7"/>
  <c r="E5" i="7" s="1"/>
  <c r="F5" i="7" s="1"/>
  <c r="G5" i="7" s="1"/>
  <c r="H5" i="7" s="1"/>
  <c r="I5" i="7" s="1"/>
  <c r="J5" i="7" s="1"/>
  <c r="D34" i="5"/>
  <c r="D33" i="5"/>
  <c r="E33" i="5" s="1"/>
  <c r="F33" i="5" s="1"/>
  <c r="G33" i="5" s="1"/>
  <c r="H33" i="5" s="1"/>
  <c r="I33" i="5" s="1"/>
  <c r="J33" i="5" s="1"/>
  <c r="I4" i="5"/>
  <c r="O4" i="5" s="1"/>
  <c r="U4" i="5" s="1"/>
  <c r="AA4" i="5" s="1"/>
  <c r="C18" i="5" s="1"/>
  <c r="I18" i="5" s="1"/>
  <c r="O18" i="5" s="1"/>
  <c r="E26" i="7"/>
  <c r="M26" i="7" s="1"/>
  <c r="D26" i="7"/>
  <c r="A41" i="11"/>
  <c r="C5" i="11"/>
  <c r="E37" i="1"/>
  <c r="F37" i="1" s="1"/>
  <c r="G37" i="1" s="1"/>
  <c r="H37" i="1" s="1"/>
  <c r="G39" i="1"/>
  <c r="G46" i="1" s="1"/>
  <c r="H39" i="1"/>
  <c r="H46" i="1"/>
  <c r="F39" i="1"/>
  <c r="F46" i="1" s="1"/>
  <c r="E39" i="1"/>
  <c r="E46" i="1" s="1"/>
  <c r="E13" i="14"/>
  <c r="F13" i="14" s="1"/>
  <c r="G13" i="14" s="1"/>
  <c r="H13" i="14" s="1"/>
  <c r="I13" i="14" s="1"/>
  <c r="J13" i="14" s="1"/>
  <c r="K13" i="14" s="1"/>
  <c r="E4" i="14"/>
  <c r="F4" i="14" s="1"/>
  <c r="G4" i="14" s="1"/>
  <c r="H4" i="14" s="1"/>
  <c r="I4" i="14" s="1"/>
  <c r="J4" i="14" s="1"/>
  <c r="K4" i="14" s="1"/>
  <c r="E4" i="12"/>
  <c r="F4" i="12" s="1"/>
  <c r="G4" i="12" s="1"/>
  <c r="H4" i="12" s="1"/>
  <c r="I4" i="12" s="1"/>
  <c r="J4" i="12" s="1"/>
  <c r="K4" i="12" s="1"/>
  <c r="H4" i="15"/>
  <c r="I4" i="15" s="1"/>
  <c r="J4" i="15" s="1"/>
  <c r="K4" i="15" s="1"/>
  <c r="L4" i="15" s="1"/>
  <c r="M4" i="15" s="1"/>
  <c r="N4" i="15" s="1"/>
  <c r="C4" i="4"/>
  <c r="D4" i="4" s="1"/>
  <c r="E4" i="4" s="1"/>
  <c r="F4" i="4" s="1"/>
  <c r="G4" i="4" s="1"/>
  <c r="D4" i="3"/>
  <c r="E4" i="3" s="1"/>
  <c r="F4" i="3" s="1"/>
  <c r="G4" i="3" s="1"/>
  <c r="H4" i="3" s="1"/>
  <c r="G120" i="11"/>
  <c r="F120" i="11"/>
  <c r="E120" i="11"/>
  <c r="D120" i="11"/>
  <c r="C120" i="11"/>
  <c r="H9" i="15"/>
  <c r="I9" i="15" s="1"/>
  <c r="J9" i="15" s="1"/>
  <c r="K9" i="15" s="1"/>
  <c r="L9" i="15" s="1"/>
  <c r="M9" i="15" s="1"/>
  <c r="N9" i="15" s="1"/>
  <c r="H10" i="15"/>
  <c r="I10" i="15" s="1"/>
  <c r="J10" i="15" s="1"/>
  <c r="K10" i="15" s="1"/>
  <c r="L10" i="15" s="1"/>
  <c r="M10" i="15" s="1"/>
  <c r="N10" i="15" s="1"/>
  <c r="H8" i="15"/>
  <c r="I8" i="15" s="1"/>
  <c r="J8" i="15" s="1"/>
  <c r="K8" i="15" s="1"/>
  <c r="L8" i="15" s="1"/>
  <c r="M8" i="15" s="1"/>
  <c r="N8" i="15" s="1"/>
  <c r="F7" i="8"/>
  <c r="F8" i="8"/>
  <c r="F9" i="8"/>
  <c r="F11" i="8"/>
  <c r="F13" i="8"/>
  <c r="F14" i="8"/>
  <c r="A24" i="11"/>
  <c r="A7" i="11"/>
  <c r="A57" i="11" s="1"/>
  <c r="A23" i="11" s="1"/>
  <c r="A6" i="11"/>
  <c r="A56" i="11" s="1"/>
  <c r="A22" i="11" s="1"/>
  <c r="A5" i="11"/>
  <c r="A55" i="11" s="1"/>
  <c r="A21" i="11" s="1"/>
  <c r="G3" i="11"/>
  <c r="H3" i="11" s="1"/>
  <c r="I3" i="11" s="1"/>
  <c r="J3" i="11" s="1"/>
  <c r="K3" i="11" s="1"/>
  <c r="L3" i="11" s="1"/>
  <c r="M3" i="11" s="1"/>
  <c r="I4" i="9"/>
  <c r="J4" i="9" s="1"/>
  <c r="K4" i="9" s="1"/>
  <c r="L4" i="9" s="1"/>
  <c r="M4" i="9" s="1"/>
  <c r="N4" i="9" s="1"/>
  <c r="O4" i="9" s="1"/>
  <c r="G60" i="32" l="1"/>
  <c r="G129" i="25"/>
  <c r="AA129" i="25" s="1"/>
  <c r="D129" i="25"/>
  <c r="G109" i="25"/>
  <c r="D109" i="25"/>
  <c r="F54" i="7"/>
  <c r="G47" i="7"/>
  <c r="K31" i="33"/>
  <c r="M21" i="33"/>
  <c r="L31" i="33" s="1"/>
  <c r="L32" i="33" s="1"/>
  <c r="F47" i="7"/>
  <c r="I44" i="11" s="1"/>
  <c r="I49" i="32"/>
  <c r="H59" i="32"/>
  <c r="H60" i="32" s="1"/>
  <c r="M33" i="7"/>
  <c r="M82" i="7"/>
  <c r="C49" i="11"/>
  <c r="E49" i="11"/>
  <c r="D49" i="11"/>
  <c r="F49" i="11"/>
  <c r="M68" i="7"/>
  <c r="M96" i="7"/>
  <c r="F44" i="11"/>
  <c r="C47" i="11"/>
  <c r="E47" i="11"/>
  <c r="D47" i="11"/>
  <c r="F47" i="11"/>
  <c r="K6" i="11"/>
  <c r="I12" i="30"/>
  <c r="F111" i="7"/>
  <c r="G111" i="7" s="1"/>
  <c r="M111" i="7"/>
  <c r="F116" i="7"/>
  <c r="G116" i="7" s="1"/>
  <c r="M116" i="7"/>
  <c r="E89" i="7"/>
  <c r="M95" i="7"/>
  <c r="E47" i="7"/>
  <c r="M48" i="7"/>
  <c r="E40" i="7"/>
  <c r="M41" i="7"/>
  <c r="E75" i="7"/>
  <c r="M81" i="7"/>
  <c r="E61" i="7"/>
  <c r="M62" i="7"/>
  <c r="E54" i="7"/>
  <c r="M55" i="7"/>
  <c r="D29" i="30"/>
  <c r="G24" i="41" s="1"/>
  <c r="M17" i="32"/>
  <c r="M18" i="32" s="1"/>
  <c r="O7" i="32"/>
  <c r="G101" i="31"/>
  <c r="G102" i="31" s="1"/>
  <c r="I91" i="31"/>
  <c r="AA108" i="24"/>
  <c r="B110" i="25" s="1"/>
  <c r="AB108" i="24"/>
  <c r="R76" i="23"/>
  <c r="Q63" i="23"/>
  <c r="R81" i="23"/>
  <c r="M106" i="24" s="1"/>
  <c r="P87" i="23"/>
  <c r="P187" i="23"/>
  <c r="P188" i="23" s="1"/>
  <c r="K158" i="31"/>
  <c r="AD17" i="5"/>
  <c r="H4" i="43" s="1"/>
  <c r="J143" i="31"/>
  <c r="M105" i="31"/>
  <c r="N105" i="31" s="1"/>
  <c r="I129" i="31"/>
  <c r="K143" i="31"/>
  <c r="K144" i="31" s="1"/>
  <c r="M133" i="31"/>
  <c r="N133" i="31" s="1"/>
  <c r="J116" i="31"/>
  <c r="M147" i="31"/>
  <c r="L157" i="31" s="1"/>
  <c r="L158" i="31" s="1"/>
  <c r="J129" i="31"/>
  <c r="J130" i="31" s="1"/>
  <c r="L119" i="31"/>
  <c r="D110" i="7"/>
  <c r="R21" i="5"/>
  <c r="L21" i="5"/>
  <c r="F22" i="5"/>
  <c r="M25" i="5"/>
  <c r="N25" i="5" s="1"/>
  <c r="M28" i="5"/>
  <c r="N28" i="5" s="1"/>
  <c r="M27" i="5"/>
  <c r="N27" i="5" s="1"/>
  <c r="M30" i="5"/>
  <c r="N30" i="5" s="1"/>
  <c r="M29" i="5"/>
  <c r="N29" i="5" s="1"/>
  <c r="M24" i="5"/>
  <c r="N24" i="5" s="1"/>
  <c r="M23" i="5"/>
  <c r="N23" i="5" s="1"/>
  <c r="M26" i="5"/>
  <c r="N26" i="5" s="1"/>
  <c r="M13" i="5"/>
  <c r="N13" i="5" s="1"/>
  <c r="M16" i="5"/>
  <c r="N16" i="5" s="1"/>
  <c r="M12" i="5"/>
  <c r="N12" i="5" s="1"/>
  <c r="M15" i="5"/>
  <c r="N15" i="5" s="1"/>
  <c r="M11" i="5"/>
  <c r="N11" i="5" s="1"/>
  <c r="M14" i="5"/>
  <c r="N14" i="5" s="1"/>
  <c r="M10" i="5"/>
  <c r="N10" i="5" s="1"/>
  <c r="M6" i="5"/>
  <c r="N6" i="5" s="1"/>
  <c r="D16" i="7" s="1"/>
  <c r="L16" i="7" s="1"/>
  <c r="M9" i="5"/>
  <c r="N9" i="5" s="1"/>
  <c r="M8" i="5"/>
  <c r="M7" i="5"/>
  <c r="N7" i="5" s="1"/>
  <c r="D22" i="7" s="1"/>
  <c r="L22" i="7" s="1"/>
  <c r="G49" i="11"/>
  <c r="G43" i="11"/>
  <c r="G48" i="11"/>
  <c r="G46" i="11"/>
  <c r="F52" i="11"/>
  <c r="D52" i="11"/>
  <c r="G51" i="11"/>
  <c r="G47" i="11"/>
  <c r="G42" i="11"/>
  <c r="G50" i="11"/>
  <c r="G45" i="11"/>
  <c r="G52" i="11"/>
  <c r="G44" i="11"/>
  <c r="E52" i="11"/>
  <c r="C52" i="11"/>
  <c r="H8" i="11"/>
  <c r="F12" i="8"/>
  <c r="E34" i="5"/>
  <c r="AI8" i="5"/>
  <c r="E103" i="7"/>
  <c r="E41" i="11"/>
  <c r="E75" i="11" s="1"/>
  <c r="A120" i="11"/>
  <c r="A118" i="11"/>
  <c r="A116" i="11"/>
  <c r="A114" i="11"/>
  <c r="A112" i="11"/>
  <c r="A110" i="11"/>
  <c r="A121" i="11"/>
  <c r="A119" i="11"/>
  <c r="A117" i="11"/>
  <c r="A115" i="11"/>
  <c r="A113" i="11"/>
  <c r="A111" i="11"/>
  <c r="A75" i="11"/>
  <c r="A92" i="11" s="1"/>
  <c r="H17" i="11"/>
  <c r="H19" i="11"/>
  <c r="H13" i="11"/>
  <c r="H12" i="11"/>
  <c r="D5" i="11"/>
  <c r="D4" i="11"/>
  <c r="H15" i="11"/>
  <c r="E110" i="7"/>
  <c r="F8" i="12"/>
  <c r="I19" i="11"/>
  <c r="I18" i="11"/>
  <c r="I17" i="11"/>
  <c r="I14" i="11"/>
  <c r="I12" i="11"/>
  <c r="I11" i="11"/>
  <c r="I10" i="11"/>
  <c r="I9" i="11"/>
  <c r="G32" i="1"/>
  <c r="F103" i="7"/>
  <c r="G103" i="7"/>
  <c r="F96" i="7"/>
  <c r="G96" i="7"/>
  <c r="F89" i="7"/>
  <c r="G89" i="7"/>
  <c r="F82" i="7"/>
  <c r="G82" i="7"/>
  <c r="F75" i="7"/>
  <c r="G75" i="7"/>
  <c r="F68" i="7"/>
  <c r="G68" i="7"/>
  <c r="F61" i="7"/>
  <c r="G61" i="7"/>
  <c r="F40" i="7"/>
  <c r="G40" i="7"/>
  <c r="F33" i="7"/>
  <c r="G33" i="7"/>
  <c r="I13" i="11"/>
  <c r="J13" i="11"/>
  <c r="F13" i="12"/>
  <c r="F22" i="12" s="1"/>
  <c r="A38" i="11"/>
  <c r="A72" i="11" s="1"/>
  <c r="A89" i="11" s="1"/>
  <c r="A106" i="11" s="1"/>
  <c r="A127" i="11" s="1"/>
  <c r="F7" i="11"/>
  <c r="F32" i="1"/>
  <c r="E5" i="14" s="1"/>
  <c r="F10" i="8"/>
  <c r="F6" i="8"/>
  <c r="F4" i="8"/>
  <c r="H20" i="11"/>
  <c r="A40" i="11"/>
  <c r="A74" i="11" s="1"/>
  <c r="A91" i="11" s="1"/>
  <c r="A108" i="11" s="1"/>
  <c r="A129" i="11" s="1"/>
  <c r="J120" i="11"/>
  <c r="D7" i="11"/>
  <c r="C6" i="11"/>
  <c r="H32" i="1"/>
  <c r="E13" i="12"/>
  <c r="E22" i="12" s="1"/>
  <c r="I32" i="1"/>
  <c r="H5" i="14" s="1"/>
  <c r="F5" i="14"/>
  <c r="E23" i="1"/>
  <c r="F5" i="11"/>
  <c r="E5" i="11"/>
  <c r="F26" i="7"/>
  <c r="G26" i="7"/>
  <c r="G13" i="12"/>
  <c r="G22" i="12" s="1"/>
  <c r="H13" i="12"/>
  <c r="H22" i="12" s="1"/>
  <c r="D22" i="12"/>
  <c r="A39" i="11"/>
  <c r="A73" i="11" s="1"/>
  <c r="A90" i="11" s="1"/>
  <c r="G110" i="7" l="1"/>
  <c r="F110" i="7"/>
  <c r="C7" i="11"/>
  <c r="J49" i="32"/>
  <c r="I59" i="32" s="1"/>
  <c r="I60" i="32" s="1"/>
  <c r="N21" i="33"/>
  <c r="O21" i="33" s="1"/>
  <c r="K32" i="33"/>
  <c r="H3" i="38"/>
  <c r="M110" i="7"/>
  <c r="M54" i="7"/>
  <c r="H45" i="11"/>
  <c r="M61" i="7"/>
  <c r="H46" i="11"/>
  <c r="M75" i="7"/>
  <c r="H48" i="11"/>
  <c r="M40" i="7"/>
  <c r="H43" i="11"/>
  <c r="M47" i="7"/>
  <c r="M89" i="7"/>
  <c r="H50" i="11"/>
  <c r="M103" i="7"/>
  <c r="E29" i="30"/>
  <c r="H24" i="41" s="1"/>
  <c r="H21" i="41" s="1"/>
  <c r="C24" i="41"/>
  <c r="N17" i="32"/>
  <c r="N18" i="32" s="1"/>
  <c r="P7" i="32"/>
  <c r="Q7" i="32" s="1"/>
  <c r="L143" i="31"/>
  <c r="L144" i="31" s="1"/>
  <c r="R63" i="23"/>
  <c r="G105" i="24" s="1"/>
  <c r="G114" i="24" s="1"/>
  <c r="R62" i="23"/>
  <c r="H101" i="31"/>
  <c r="H102" i="31" s="1"/>
  <c r="J91" i="31"/>
  <c r="I101" i="31" s="1"/>
  <c r="I102" i="31" s="1"/>
  <c r="N106" i="24"/>
  <c r="M114" i="24"/>
  <c r="B77" i="31"/>
  <c r="X106" i="24"/>
  <c r="Q86" i="23"/>
  <c r="O110" i="25"/>
  <c r="P110" i="25" s="1"/>
  <c r="X110" i="25"/>
  <c r="Y110" i="25" s="1"/>
  <c r="L110" i="25"/>
  <c r="M110" i="25" s="1"/>
  <c r="R110" i="25"/>
  <c r="I110" i="25"/>
  <c r="J110" i="25" s="1"/>
  <c r="U110" i="25"/>
  <c r="V110" i="25" s="1"/>
  <c r="F110" i="25"/>
  <c r="N147" i="31"/>
  <c r="M157" i="31" s="1"/>
  <c r="M143" i="31"/>
  <c r="M144" i="31" s="1"/>
  <c r="O133" i="31"/>
  <c r="N143" i="31" s="1"/>
  <c r="I130" i="31"/>
  <c r="L115" i="31"/>
  <c r="K129" i="31"/>
  <c r="K130" i="31" s="1"/>
  <c r="M119" i="31"/>
  <c r="L129" i="31" s="1"/>
  <c r="L130" i="31" s="1"/>
  <c r="M115" i="31"/>
  <c r="M116" i="31" s="1"/>
  <c r="O105" i="31"/>
  <c r="J144" i="31"/>
  <c r="D10" i="30"/>
  <c r="R22" i="5"/>
  <c r="L22" i="5"/>
  <c r="S23" i="5"/>
  <c r="T23" i="5" s="1"/>
  <c r="S25" i="5"/>
  <c r="T25" i="5" s="1"/>
  <c r="S27" i="5"/>
  <c r="T27" i="5" s="1"/>
  <c r="S29" i="5"/>
  <c r="T29" i="5" s="1"/>
  <c r="S24" i="5"/>
  <c r="T24" i="5" s="1"/>
  <c r="S26" i="5"/>
  <c r="T26" i="5" s="1"/>
  <c r="S28" i="5"/>
  <c r="T28" i="5" s="1"/>
  <c r="S30" i="5"/>
  <c r="T30" i="5" s="1"/>
  <c r="S13" i="5"/>
  <c r="T13" i="5" s="1"/>
  <c r="S11" i="5"/>
  <c r="T11" i="5" s="1"/>
  <c r="S10" i="5"/>
  <c r="T10" i="5" s="1"/>
  <c r="S16" i="5"/>
  <c r="T16" i="5" s="1"/>
  <c r="S15" i="5"/>
  <c r="T15" i="5" s="1"/>
  <c r="S14" i="5"/>
  <c r="T14" i="5" s="1"/>
  <c r="S12" i="5"/>
  <c r="T12" i="5" s="1"/>
  <c r="S7" i="5"/>
  <c r="T7" i="5" s="1"/>
  <c r="E22" i="7" s="1"/>
  <c r="M22" i="7" s="1"/>
  <c r="S8" i="5"/>
  <c r="T8" i="5" s="1"/>
  <c r="S9" i="5"/>
  <c r="T9" i="5" s="1"/>
  <c r="AI7" i="5"/>
  <c r="N8" i="5"/>
  <c r="AI9" i="5"/>
  <c r="B52" i="11"/>
  <c r="B47" i="11"/>
  <c r="M17" i="5"/>
  <c r="AI6" i="5"/>
  <c r="AH6" i="5"/>
  <c r="B49" i="11"/>
  <c r="I46" i="11"/>
  <c r="I50" i="11"/>
  <c r="I51" i="11"/>
  <c r="I52" i="11"/>
  <c r="H42" i="11"/>
  <c r="E42" i="11"/>
  <c r="D42" i="11"/>
  <c r="C43" i="11"/>
  <c r="E43" i="11"/>
  <c r="C44" i="11"/>
  <c r="E44" i="11"/>
  <c r="D45" i="11"/>
  <c r="F45" i="11"/>
  <c r="D46" i="11"/>
  <c r="F46" i="11"/>
  <c r="F51" i="11"/>
  <c r="D51" i="11"/>
  <c r="E48" i="11"/>
  <c r="C48" i="11"/>
  <c r="H51" i="11"/>
  <c r="H47" i="11"/>
  <c r="H49" i="11"/>
  <c r="C53" i="11"/>
  <c r="F53" i="11"/>
  <c r="F50" i="11"/>
  <c r="D50" i="11"/>
  <c r="C41" i="11"/>
  <c r="F42" i="11"/>
  <c r="C42" i="11"/>
  <c r="D43" i="11"/>
  <c r="F43" i="11"/>
  <c r="D44" i="11"/>
  <c r="C45" i="11"/>
  <c r="E45" i="11"/>
  <c r="C46" i="11"/>
  <c r="E46" i="11"/>
  <c r="E51" i="11"/>
  <c r="C51" i="11"/>
  <c r="D48" i="11"/>
  <c r="F48" i="11"/>
  <c r="H44" i="11"/>
  <c r="I45" i="11"/>
  <c r="E53" i="11"/>
  <c r="D53" i="11"/>
  <c r="E50" i="11"/>
  <c r="C50" i="11"/>
  <c r="G53" i="11"/>
  <c r="D41" i="11"/>
  <c r="D75" i="11" s="1"/>
  <c r="H52" i="11"/>
  <c r="F34" i="5"/>
  <c r="D54" i="11"/>
  <c r="C20" i="11"/>
  <c r="B20" i="11" s="1"/>
  <c r="D23" i="11"/>
  <c r="D24" i="11"/>
  <c r="D25" i="11"/>
  <c r="D26" i="11"/>
  <c r="D27" i="11"/>
  <c r="D28" i="11"/>
  <c r="D29" i="11"/>
  <c r="D30" i="11"/>
  <c r="D31" i="11"/>
  <c r="D32" i="11"/>
  <c r="D33" i="11"/>
  <c r="D34" i="11"/>
  <c r="D35" i="11"/>
  <c r="D36" i="11"/>
  <c r="D21" i="11"/>
  <c r="B5" i="11"/>
  <c r="D22" i="11"/>
  <c r="A109" i="11"/>
  <c r="J18" i="11"/>
  <c r="J11" i="11"/>
  <c r="J14" i="11"/>
  <c r="I16" i="11"/>
  <c r="J17" i="11"/>
  <c r="J19" i="11"/>
  <c r="J12" i="11"/>
  <c r="J10" i="11"/>
  <c r="J9" i="11"/>
  <c r="I15" i="11"/>
  <c r="J8" i="11"/>
  <c r="I8" i="11"/>
  <c r="C4" i="11"/>
  <c r="G7" i="11"/>
  <c r="G8" i="12"/>
  <c r="A123" i="11"/>
  <c r="A131" i="11" s="1"/>
  <c r="G5" i="14"/>
  <c r="A125" i="11"/>
  <c r="A133" i="11" s="1"/>
  <c r="F15" i="8"/>
  <c r="I120" i="11"/>
  <c r="B8" i="11"/>
  <c r="I20" i="11"/>
  <c r="E32" i="1"/>
  <c r="F7" i="9"/>
  <c r="A107" i="11"/>
  <c r="A128" i="11" s="1"/>
  <c r="A124" i="11"/>
  <c r="A132" i="11" s="1"/>
  <c r="C23" i="11" l="1"/>
  <c r="C57" i="11" s="1"/>
  <c r="O17" i="32"/>
  <c r="O18" i="32" s="1"/>
  <c r="K49" i="32"/>
  <c r="L49" i="32" s="1"/>
  <c r="N31" i="33"/>
  <c r="N32" i="33" s="1"/>
  <c r="P21" i="33"/>
  <c r="Q21" i="33" s="1"/>
  <c r="G110" i="25"/>
  <c r="D110" i="25"/>
  <c r="M31" i="33"/>
  <c r="F29" i="30"/>
  <c r="I24" i="41" s="1"/>
  <c r="P17" i="32"/>
  <c r="P18" i="32" s="1"/>
  <c r="R7" i="32"/>
  <c r="Q87" i="23"/>
  <c r="R86" i="23"/>
  <c r="B129" i="24"/>
  <c r="F77" i="31"/>
  <c r="D77" i="31"/>
  <c r="E77" i="31"/>
  <c r="F129" i="24" s="1"/>
  <c r="C77" i="31"/>
  <c r="C129" i="24" s="1"/>
  <c r="N114" i="24"/>
  <c r="H105" i="24"/>
  <c r="H114" i="24" s="1"/>
  <c r="K91" i="31"/>
  <c r="J101" i="31" s="1"/>
  <c r="J102" i="31" s="1"/>
  <c r="B63" i="31"/>
  <c r="Q72" i="23"/>
  <c r="R189" i="23"/>
  <c r="X105" i="24"/>
  <c r="Y106" i="24"/>
  <c r="D129" i="24" s="1"/>
  <c r="Z106" i="24"/>
  <c r="N144" i="31"/>
  <c r="M158" i="31"/>
  <c r="E4" i="39"/>
  <c r="E3" i="39" s="1"/>
  <c r="E10" i="30"/>
  <c r="H6" i="38"/>
  <c r="N115" i="31"/>
  <c r="N116" i="31" s="1"/>
  <c r="P105" i="31"/>
  <c r="O115" i="31" s="1"/>
  <c r="N119" i="31"/>
  <c r="O119" i="31" s="1"/>
  <c r="L116" i="31"/>
  <c r="P133" i="31"/>
  <c r="O143" i="31" s="1"/>
  <c r="O144" i="31" s="1"/>
  <c r="O147" i="31"/>
  <c r="N157" i="31" s="1"/>
  <c r="N158" i="31" s="1"/>
  <c r="B42" i="11"/>
  <c r="AI10" i="5"/>
  <c r="G34" i="5"/>
  <c r="H34" i="5" s="1"/>
  <c r="Y10" i="5"/>
  <c r="Z10" i="5" s="1"/>
  <c r="Y15" i="5"/>
  <c r="Z15" i="5" s="1"/>
  <c r="Y14" i="5"/>
  <c r="Z14" i="5" s="1"/>
  <c r="Y12" i="5"/>
  <c r="Z12" i="5" s="1"/>
  <c r="Y7" i="5"/>
  <c r="Z7" i="5" s="1"/>
  <c r="F22" i="7" s="1"/>
  <c r="N22" i="7" s="1"/>
  <c r="Y16" i="5"/>
  <c r="Z16" i="5" s="1"/>
  <c r="Y11" i="5"/>
  <c r="Z11" i="5" s="1"/>
  <c r="Y13" i="5"/>
  <c r="Z13" i="5" s="1"/>
  <c r="Y6" i="5"/>
  <c r="Y8" i="5"/>
  <c r="Z8" i="5" s="1"/>
  <c r="Y9" i="5"/>
  <c r="Z9" i="5" s="1"/>
  <c r="N17" i="5"/>
  <c r="H16" i="41" s="1"/>
  <c r="B46" i="11"/>
  <c r="C75" i="11"/>
  <c r="B50" i="11"/>
  <c r="G5" i="11"/>
  <c r="B44" i="11"/>
  <c r="B43" i="11"/>
  <c r="D69" i="11"/>
  <c r="D67" i="11"/>
  <c r="D65" i="11"/>
  <c r="D63" i="11"/>
  <c r="D61" i="11"/>
  <c r="D59" i="11"/>
  <c r="D57" i="11"/>
  <c r="E54" i="11"/>
  <c r="F54" i="11"/>
  <c r="B51" i="11"/>
  <c r="B53" i="11"/>
  <c r="B48" i="11"/>
  <c r="B45" i="11"/>
  <c r="I42" i="11"/>
  <c r="J45" i="11"/>
  <c r="J46" i="11"/>
  <c r="I47" i="11"/>
  <c r="I48" i="11"/>
  <c r="H53" i="11"/>
  <c r="J42" i="11"/>
  <c r="J43" i="11"/>
  <c r="I43" i="11"/>
  <c r="J52" i="11"/>
  <c r="J50" i="11"/>
  <c r="I49" i="11"/>
  <c r="J47" i="11"/>
  <c r="J44" i="11"/>
  <c r="J51" i="11"/>
  <c r="D56" i="11"/>
  <c r="D55" i="11"/>
  <c r="D70" i="11"/>
  <c r="D68" i="11"/>
  <c r="D66" i="11"/>
  <c r="D64" i="11"/>
  <c r="D62" i="11"/>
  <c r="D60" i="11"/>
  <c r="D58" i="11"/>
  <c r="H8" i="12"/>
  <c r="H6" i="11"/>
  <c r="C29" i="11"/>
  <c r="C63" i="11" s="1"/>
  <c r="C31" i="11"/>
  <c r="C65" i="11" s="1"/>
  <c r="C34" i="11"/>
  <c r="C68" i="11" s="1"/>
  <c r="C36" i="11"/>
  <c r="C70" i="11" s="1"/>
  <c r="C25" i="11"/>
  <c r="C59" i="11" s="1"/>
  <c r="C28" i="11"/>
  <c r="C62" i="11" s="1"/>
  <c r="C26" i="11"/>
  <c r="C60" i="11" s="1"/>
  <c r="C30" i="11"/>
  <c r="C64" i="11" s="1"/>
  <c r="C33" i="11"/>
  <c r="C67" i="11" s="1"/>
  <c r="C35" i="11"/>
  <c r="C69" i="11" s="1"/>
  <c r="C24" i="11"/>
  <c r="C58" i="11" s="1"/>
  <c r="C27" i="11"/>
  <c r="C61" i="11" s="1"/>
  <c r="C32" i="11"/>
  <c r="C66" i="11" s="1"/>
  <c r="C21" i="11"/>
  <c r="C55" i="11" s="1"/>
  <c r="C22" i="11"/>
  <c r="C56" i="11" s="1"/>
  <c r="J15" i="11"/>
  <c r="J16" i="11"/>
  <c r="E7" i="9"/>
  <c r="D4" i="39" s="1"/>
  <c r="O31" i="33" l="1"/>
  <c r="O32" i="33" s="1"/>
  <c r="J59" i="32"/>
  <c r="J60" i="32" s="1"/>
  <c r="I34" i="5"/>
  <c r="G21" i="5"/>
  <c r="H21" i="5" s="1"/>
  <c r="H22" i="7" s="1"/>
  <c r="P22" i="7" s="1"/>
  <c r="G22" i="5"/>
  <c r="H22" i="5" s="1"/>
  <c r="M32" i="33"/>
  <c r="P31" i="33"/>
  <c r="P32" i="33" s="1"/>
  <c r="R21" i="33"/>
  <c r="X172" i="24" s="1"/>
  <c r="K59" i="32"/>
  <c r="K60" i="32" s="1"/>
  <c r="M49" i="32"/>
  <c r="L59" i="32" s="1"/>
  <c r="L60" i="32" s="1"/>
  <c r="G29" i="30"/>
  <c r="Q17" i="32"/>
  <c r="X147" i="24"/>
  <c r="B7" i="33"/>
  <c r="B170" i="24" s="1"/>
  <c r="Y105" i="24"/>
  <c r="X114" i="24"/>
  <c r="Z105" i="24"/>
  <c r="Q73" i="23"/>
  <c r="Q187" i="23"/>
  <c r="Q188" i="23" s="1"/>
  <c r="R72" i="23"/>
  <c r="AC106" i="24"/>
  <c r="G77" i="31"/>
  <c r="H77" i="31" s="1"/>
  <c r="AD106" i="24"/>
  <c r="R87" i="23"/>
  <c r="B128" i="24"/>
  <c r="C63" i="31"/>
  <c r="E63" i="31"/>
  <c r="B190" i="31"/>
  <c r="H162" i="31"/>
  <c r="D63" i="31"/>
  <c r="D190" i="31" s="1"/>
  <c r="F63" i="31"/>
  <c r="H176" i="31"/>
  <c r="P223" i="31"/>
  <c r="R223" i="31" s="1"/>
  <c r="L91" i="31"/>
  <c r="K101" i="31" s="1"/>
  <c r="K102" i="31" s="1"/>
  <c r="AG129" i="24"/>
  <c r="E129" i="24"/>
  <c r="M129" i="31"/>
  <c r="M130" i="31" s="1"/>
  <c r="O116" i="31"/>
  <c r="F10" i="30"/>
  <c r="F9" i="30" s="1"/>
  <c r="H9" i="38"/>
  <c r="D3" i="39"/>
  <c r="Q133" i="31"/>
  <c r="P143" i="31" s="1"/>
  <c r="P144" i="31" s="1"/>
  <c r="N129" i="31"/>
  <c r="P119" i="31"/>
  <c r="P147" i="31"/>
  <c r="O157" i="31" s="1"/>
  <c r="O158" i="31" s="1"/>
  <c r="Q105" i="31"/>
  <c r="P115" i="31" s="1"/>
  <c r="P116" i="31" s="1"/>
  <c r="E34" i="30"/>
  <c r="Z6" i="5"/>
  <c r="F16" i="7" s="1"/>
  <c r="N16" i="7" s="1"/>
  <c r="N117" i="7" s="1"/>
  <c r="Y17" i="5"/>
  <c r="AE15" i="5"/>
  <c r="AF15" i="5" s="1"/>
  <c r="AE10" i="5"/>
  <c r="AF10" i="5" s="1"/>
  <c r="AE14" i="5"/>
  <c r="AF14" i="5" s="1"/>
  <c r="AE12" i="5"/>
  <c r="AF12" i="5" s="1"/>
  <c r="AE7" i="5"/>
  <c r="AF7" i="5" s="1"/>
  <c r="G22" i="7" s="1"/>
  <c r="O22" i="7" s="1"/>
  <c r="AE16" i="5"/>
  <c r="AF16" i="5" s="1"/>
  <c r="AE11" i="5"/>
  <c r="AF11" i="5" s="1"/>
  <c r="AE13" i="5"/>
  <c r="AF13" i="5" s="1"/>
  <c r="AE6" i="5"/>
  <c r="AE8" i="5"/>
  <c r="AF8" i="5" s="1"/>
  <c r="AE9" i="5"/>
  <c r="AF9" i="5" s="1"/>
  <c r="H5" i="11"/>
  <c r="H7" i="11"/>
  <c r="K118" i="7"/>
  <c r="I53" i="11"/>
  <c r="J49" i="11"/>
  <c r="J48" i="11"/>
  <c r="I6" i="11"/>
  <c r="B54" i="11"/>
  <c r="J20" i="11"/>
  <c r="F87" i="31" l="1"/>
  <c r="F88" i="31" s="1"/>
  <c r="Q31" i="33"/>
  <c r="Q32" i="33" s="1"/>
  <c r="Y172" i="24"/>
  <c r="AC172" i="24" s="1"/>
  <c r="Z172" i="24"/>
  <c r="N49" i="32"/>
  <c r="M59" i="32" s="1"/>
  <c r="M60" i="32" s="1"/>
  <c r="R31" i="33"/>
  <c r="J34" i="5"/>
  <c r="M21" i="5"/>
  <c r="N21" i="5" s="1"/>
  <c r="I22" i="7" s="1"/>
  <c r="Q22" i="7" s="1"/>
  <c r="M22" i="5"/>
  <c r="N22" i="5" s="1"/>
  <c r="G41" i="11"/>
  <c r="G75" i="11" s="1"/>
  <c r="F8" i="30"/>
  <c r="F7" i="30" s="1"/>
  <c r="J7" i="9"/>
  <c r="I4" i="39" s="1"/>
  <c r="I3" i="39" s="1"/>
  <c r="E4" i="42" s="1"/>
  <c r="J24" i="41"/>
  <c r="J21" i="41" s="1"/>
  <c r="H29" i="30"/>
  <c r="K24" i="41" s="1"/>
  <c r="H11" i="30"/>
  <c r="H17" i="38"/>
  <c r="G11" i="30"/>
  <c r="H14" i="38"/>
  <c r="Y147" i="24"/>
  <c r="Z147" i="24"/>
  <c r="AG170" i="24"/>
  <c r="E170" i="24"/>
  <c r="Q18" i="32"/>
  <c r="R17" i="32"/>
  <c r="S223" i="31"/>
  <c r="S224" i="31"/>
  <c r="F190" i="31"/>
  <c r="G63" i="31"/>
  <c r="F73" i="31" s="1"/>
  <c r="R162" i="31"/>
  <c r="G135" i="24" s="1"/>
  <c r="I161" i="31"/>
  <c r="F128" i="24"/>
  <c r="F137" i="24" s="1"/>
  <c r="E190" i="31"/>
  <c r="AG128" i="24"/>
  <c r="B137" i="24"/>
  <c r="E128" i="24"/>
  <c r="AA106" i="24"/>
  <c r="B108" i="25" s="1"/>
  <c r="AB106" i="24"/>
  <c r="G87" i="31"/>
  <c r="G88" i="31" s="1"/>
  <c r="I77" i="31"/>
  <c r="H87" i="31" s="1"/>
  <c r="H88" i="31" s="1"/>
  <c r="R73" i="23"/>
  <c r="R187" i="23"/>
  <c r="R188" i="23" s="1"/>
  <c r="AD105" i="24"/>
  <c r="M91" i="31"/>
  <c r="L101" i="31" s="1"/>
  <c r="L102" i="31" s="1"/>
  <c r="H191" i="31"/>
  <c r="R176" i="31"/>
  <c r="G136" i="24" s="1"/>
  <c r="H136" i="24" s="1"/>
  <c r="I175" i="31"/>
  <c r="H192" i="31"/>
  <c r="C128" i="24"/>
  <c r="C137" i="24" s="1"/>
  <c r="C190" i="31"/>
  <c r="Y114" i="24"/>
  <c r="AC114" i="24" s="1"/>
  <c r="D128" i="24"/>
  <c r="D137" i="24" s="1"/>
  <c r="AC105" i="24"/>
  <c r="G10" i="30"/>
  <c r="H12" i="38"/>
  <c r="N130" i="31"/>
  <c r="Q110" i="31"/>
  <c r="Q147" i="31"/>
  <c r="P157" i="31" s="1"/>
  <c r="P158" i="31" s="1"/>
  <c r="O129" i="31"/>
  <c r="O130" i="31" s="1"/>
  <c r="Q119" i="31"/>
  <c r="R119" i="31" s="1"/>
  <c r="Z17" i="5"/>
  <c r="G34" i="30" s="1"/>
  <c r="AF6" i="5"/>
  <c r="G16" i="7" s="1"/>
  <c r="O16" i="7" s="1"/>
  <c r="AE17" i="5"/>
  <c r="I5" i="11"/>
  <c r="I7" i="11"/>
  <c r="J7" i="11"/>
  <c r="L118" i="7"/>
  <c r="J53" i="11"/>
  <c r="G6" i="12"/>
  <c r="H4" i="11"/>
  <c r="H24" i="11" s="1"/>
  <c r="F6" i="12"/>
  <c r="J6" i="11"/>
  <c r="G9" i="30" l="1"/>
  <c r="G8" i="30" s="1"/>
  <c r="G7" i="30" s="1"/>
  <c r="H41" i="11"/>
  <c r="H75" i="11" s="1"/>
  <c r="R32" i="33"/>
  <c r="AD172" i="24"/>
  <c r="O49" i="32"/>
  <c r="S21" i="5"/>
  <c r="T21" i="5" s="1"/>
  <c r="J22" i="7" s="1"/>
  <c r="S22" i="5"/>
  <c r="T22" i="5" s="1"/>
  <c r="I41" i="11"/>
  <c r="I75" i="11" s="1"/>
  <c r="I29" i="30"/>
  <c r="AD147" i="24"/>
  <c r="R18" i="32"/>
  <c r="D170" i="24"/>
  <c r="AC147" i="24"/>
  <c r="E137" i="24"/>
  <c r="Z114" i="24"/>
  <c r="AA105" i="24"/>
  <c r="AB105" i="24"/>
  <c r="AD114" i="24"/>
  <c r="AH127" i="24"/>
  <c r="AG137" i="24"/>
  <c r="H135" i="24"/>
  <c r="G190" i="31"/>
  <c r="H63" i="31"/>
  <c r="J175" i="31"/>
  <c r="K175" i="31" s="1"/>
  <c r="H185" i="31"/>
  <c r="H186" i="31" s="1"/>
  <c r="N91" i="31"/>
  <c r="M101" i="31" s="1"/>
  <c r="M102" i="31" s="1"/>
  <c r="J77" i="31"/>
  <c r="I87" i="31" s="1"/>
  <c r="I88" i="31" s="1"/>
  <c r="I108" i="25"/>
  <c r="J108" i="25" s="1"/>
  <c r="O108" i="25"/>
  <c r="P108" i="25" s="1"/>
  <c r="X108" i="25"/>
  <c r="Y108" i="25" s="1"/>
  <c r="F108" i="25"/>
  <c r="L108" i="25"/>
  <c r="M108" i="25" s="1"/>
  <c r="R108" i="25"/>
  <c r="U108" i="25"/>
  <c r="V108" i="25" s="1"/>
  <c r="J161" i="31"/>
  <c r="I171" i="31" s="1"/>
  <c r="I172" i="31" s="1"/>
  <c r="H171" i="31"/>
  <c r="H172" i="31" s="1"/>
  <c r="F188" i="31"/>
  <c r="F189" i="31" s="1"/>
  <c r="F74" i="31"/>
  <c r="P129" i="31"/>
  <c r="Q152" i="31"/>
  <c r="R110" i="31"/>
  <c r="Q92" i="31"/>
  <c r="J16" i="41"/>
  <c r="X130" i="24"/>
  <c r="B119" i="32"/>
  <c r="AF17" i="5"/>
  <c r="K16" i="41" s="1"/>
  <c r="G54" i="11"/>
  <c r="M118" i="7"/>
  <c r="K7" i="9"/>
  <c r="J4" i="39" s="1"/>
  <c r="J3" i="39" s="1"/>
  <c r="F4" i="42" s="1"/>
  <c r="H31" i="11"/>
  <c r="I4" i="11"/>
  <c r="I25" i="11" s="1"/>
  <c r="H22" i="11"/>
  <c r="H23" i="11"/>
  <c r="H35" i="11"/>
  <c r="H27" i="11"/>
  <c r="H33" i="11"/>
  <c r="H29" i="11"/>
  <c r="H25" i="11"/>
  <c r="H21" i="11"/>
  <c r="H36" i="11"/>
  <c r="H34" i="11"/>
  <c r="H32" i="11"/>
  <c r="H30" i="11"/>
  <c r="H28" i="11"/>
  <c r="H26" i="11"/>
  <c r="P49" i="32" l="1"/>
  <c r="G108" i="25"/>
  <c r="D108" i="25"/>
  <c r="AB172" i="24"/>
  <c r="AA172" i="24"/>
  <c r="B174" i="25" s="1"/>
  <c r="I185" i="31"/>
  <c r="I186" i="31" s="1"/>
  <c r="N59" i="32"/>
  <c r="N60" i="32" s="1"/>
  <c r="K29" i="30"/>
  <c r="J29" i="30"/>
  <c r="H34" i="30"/>
  <c r="AA147" i="24"/>
  <c r="B148" i="25" s="1"/>
  <c r="AB147" i="24"/>
  <c r="K161" i="31"/>
  <c r="J171" i="31" s="1"/>
  <c r="J172" i="31" s="1"/>
  <c r="J185" i="31"/>
  <c r="J186" i="31" s="1"/>
  <c r="L175" i="31"/>
  <c r="M175" i="31" s="1"/>
  <c r="G73" i="31"/>
  <c r="H68" i="31"/>
  <c r="H190" i="31"/>
  <c r="B107" i="25"/>
  <c r="AA114" i="24"/>
  <c r="K77" i="31"/>
  <c r="J87" i="31" s="1"/>
  <c r="J88" i="31" s="1"/>
  <c r="O91" i="31"/>
  <c r="N101" i="31" s="1"/>
  <c r="N102" i="31" s="1"/>
  <c r="Z130" i="24"/>
  <c r="Y130" i="24"/>
  <c r="P130" i="31"/>
  <c r="R129" i="31"/>
  <c r="D119" i="32"/>
  <c r="P125" i="32"/>
  <c r="C119" i="32"/>
  <c r="C153" i="24" s="1"/>
  <c r="R92" i="31"/>
  <c r="G131" i="24" s="1"/>
  <c r="R152" i="31"/>
  <c r="M134" i="24" s="1"/>
  <c r="N134" i="24" s="1"/>
  <c r="H132" i="24" s="1"/>
  <c r="Q134" i="31"/>
  <c r="O118" i="7"/>
  <c r="N118" i="7"/>
  <c r="N119" i="7" s="1"/>
  <c r="H54" i="11"/>
  <c r="H58" i="11" s="1"/>
  <c r="I26" i="11"/>
  <c r="I21" i="11"/>
  <c r="I34" i="11"/>
  <c r="I31" i="11"/>
  <c r="I30" i="11"/>
  <c r="I35" i="11"/>
  <c r="I27" i="11"/>
  <c r="I22" i="11"/>
  <c r="I23" i="11"/>
  <c r="I36" i="11"/>
  <c r="I32" i="11"/>
  <c r="I28" i="11"/>
  <c r="I24" i="11"/>
  <c r="I33" i="11"/>
  <c r="I29" i="11"/>
  <c r="U174" i="25" l="1"/>
  <c r="V174" i="25" s="1"/>
  <c r="L174" i="25"/>
  <c r="M174" i="25" s="1"/>
  <c r="R174" i="25"/>
  <c r="I174" i="25"/>
  <c r="J174" i="25" s="1"/>
  <c r="F174" i="25"/>
  <c r="O174" i="25"/>
  <c r="P174" i="25" s="1"/>
  <c r="X174" i="25"/>
  <c r="Y174" i="25" s="1"/>
  <c r="Q49" i="32"/>
  <c r="L29" i="30"/>
  <c r="O59" i="32"/>
  <c r="O60" i="32" s="1"/>
  <c r="R148" i="25"/>
  <c r="U148" i="25"/>
  <c r="V148" i="25" s="1"/>
  <c r="X148" i="25"/>
  <c r="Y148" i="25" s="1"/>
  <c r="L148" i="25"/>
  <c r="M148" i="25" s="1"/>
  <c r="F148" i="25"/>
  <c r="O148" i="25"/>
  <c r="P148" i="25" s="1"/>
  <c r="P91" i="31"/>
  <c r="Q91" i="31" s="1"/>
  <c r="L77" i="31"/>
  <c r="B104" i="25"/>
  <c r="B100" i="25" s="1"/>
  <c r="I107" i="25"/>
  <c r="L107" i="25"/>
  <c r="X107" i="25"/>
  <c r="U107" i="25"/>
  <c r="O107" i="25"/>
  <c r="R107" i="25"/>
  <c r="R104" i="25" s="1"/>
  <c r="R100" i="25" s="1"/>
  <c r="F107" i="25"/>
  <c r="G74" i="31"/>
  <c r="G188" i="31"/>
  <c r="G189" i="31" s="1"/>
  <c r="K185" i="31"/>
  <c r="K186" i="31" s="1"/>
  <c r="I63" i="31"/>
  <c r="H36" i="31"/>
  <c r="R68" i="31"/>
  <c r="M128" i="24" s="1"/>
  <c r="N128" i="24" s="1"/>
  <c r="H125" i="24" s="1"/>
  <c r="L185" i="31"/>
  <c r="L186" i="31" s="1"/>
  <c r="N175" i="31"/>
  <c r="L161" i="31"/>
  <c r="K171" i="31" s="1"/>
  <c r="K172" i="31" s="1"/>
  <c r="R134" i="31"/>
  <c r="G132" i="24" s="1"/>
  <c r="R133" i="31"/>
  <c r="R130" i="31"/>
  <c r="AD130" i="24"/>
  <c r="R125" i="32"/>
  <c r="O153" i="24" s="1"/>
  <c r="Q119" i="32"/>
  <c r="D153" i="24"/>
  <c r="AC130" i="24"/>
  <c r="H65" i="11"/>
  <c r="H69" i="11"/>
  <c r="H59" i="11"/>
  <c r="H66" i="11"/>
  <c r="I54" i="11"/>
  <c r="I59" i="11" s="1"/>
  <c r="H61" i="11"/>
  <c r="H55" i="11"/>
  <c r="H64" i="11"/>
  <c r="H56" i="11"/>
  <c r="H67" i="11"/>
  <c r="H70" i="11"/>
  <c r="H62" i="11"/>
  <c r="J54" i="11"/>
  <c r="H57" i="11"/>
  <c r="H63" i="11"/>
  <c r="H68" i="11"/>
  <c r="H60" i="11"/>
  <c r="G148" i="25" l="1"/>
  <c r="D148" i="25"/>
  <c r="R49" i="32"/>
  <c r="Q59" i="32" s="1"/>
  <c r="D107" i="25"/>
  <c r="D104" i="25" s="1"/>
  <c r="P59" i="32"/>
  <c r="P60" i="32" s="1"/>
  <c r="D174" i="25"/>
  <c r="G174" i="25"/>
  <c r="AA174" i="25" s="1"/>
  <c r="AA148" i="25"/>
  <c r="M161" i="31"/>
  <c r="L171" i="31" s="1"/>
  <c r="L172" i="31" s="1"/>
  <c r="I35" i="31"/>
  <c r="R36" i="31"/>
  <c r="G125" i="24" s="1"/>
  <c r="H21" i="29"/>
  <c r="H20" i="29"/>
  <c r="V107" i="25"/>
  <c r="U104" i="25"/>
  <c r="U100" i="25" s="1"/>
  <c r="M107" i="25"/>
  <c r="M104" i="25" s="1"/>
  <c r="M100" i="25" s="1"/>
  <c r="L104" i="25"/>
  <c r="L100" i="25" s="1"/>
  <c r="M77" i="31"/>
  <c r="L87" i="31" s="1"/>
  <c r="P101" i="31"/>
  <c r="P102" i="31" s="1"/>
  <c r="Q96" i="31"/>
  <c r="R91" i="31" s="1"/>
  <c r="O175" i="31"/>
  <c r="N185" i="31" s="1"/>
  <c r="N186" i="31" s="1"/>
  <c r="H73" i="31"/>
  <c r="H74" i="31" s="1"/>
  <c r="J63" i="31"/>
  <c r="I73" i="31" s="1"/>
  <c r="I74" i="31" s="1"/>
  <c r="K18" i="41"/>
  <c r="G107" i="25"/>
  <c r="G104" i="25" s="1"/>
  <c r="G100" i="25" s="1"/>
  <c r="F104" i="25"/>
  <c r="F100" i="25" s="1"/>
  <c r="P107" i="25"/>
  <c r="P104" i="25" s="1"/>
  <c r="P100" i="25" s="1"/>
  <c r="O104" i="25"/>
  <c r="O100" i="25" s="1"/>
  <c r="Y107" i="25"/>
  <c r="Y104" i="25" s="1"/>
  <c r="Y100" i="25" s="1"/>
  <c r="X104" i="25"/>
  <c r="X100" i="25" s="1"/>
  <c r="J107" i="25"/>
  <c r="I104" i="25"/>
  <c r="I100" i="25" s="1"/>
  <c r="K87" i="31"/>
  <c r="K88" i="31" s="1"/>
  <c r="O101" i="31"/>
  <c r="O102" i="31" s="1"/>
  <c r="M185" i="31"/>
  <c r="M186" i="31" s="1"/>
  <c r="R119" i="32"/>
  <c r="P129" i="32"/>
  <c r="H10" i="30"/>
  <c r="H9" i="30" s="1"/>
  <c r="H15" i="38"/>
  <c r="P153" i="24"/>
  <c r="AA130" i="24"/>
  <c r="B132" i="25" s="1"/>
  <c r="AB130" i="24"/>
  <c r="X132" i="24"/>
  <c r="B133" i="32"/>
  <c r="Q143" i="31"/>
  <c r="J5" i="11"/>
  <c r="I57" i="11"/>
  <c r="I65" i="11"/>
  <c r="I58" i="11"/>
  <c r="I55" i="11"/>
  <c r="I69" i="11"/>
  <c r="I66" i="11"/>
  <c r="I63" i="11"/>
  <c r="I68" i="11"/>
  <c r="I61" i="11"/>
  <c r="I70" i="11"/>
  <c r="I67" i="11"/>
  <c r="I60" i="11"/>
  <c r="I64" i="11"/>
  <c r="I56" i="11"/>
  <c r="I62" i="11"/>
  <c r="Q60" i="32" l="1"/>
  <c r="R59" i="32"/>
  <c r="X150" i="24"/>
  <c r="B49" i="33"/>
  <c r="L88" i="31"/>
  <c r="P175" i="31"/>
  <c r="O185" i="31" s="1"/>
  <c r="Q78" i="31"/>
  <c r="R78" i="31" s="1"/>
  <c r="G129" i="24" s="1"/>
  <c r="R96" i="31"/>
  <c r="M131" i="24" s="1"/>
  <c r="N131" i="24" s="1"/>
  <c r="H129" i="24" s="1"/>
  <c r="H23" i="29"/>
  <c r="K63" i="31"/>
  <c r="J73" i="31" s="1"/>
  <c r="J74" i="31" s="1"/>
  <c r="Q101" i="31"/>
  <c r="B91" i="32"/>
  <c r="X131" i="24"/>
  <c r="Y131" i="24" s="1"/>
  <c r="Z131" i="24" s="1"/>
  <c r="N77" i="31"/>
  <c r="M87" i="31" s="1"/>
  <c r="J35" i="31"/>
  <c r="I45" i="31" s="1"/>
  <c r="H45" i="31"/>
  <c r="I190" i="31"/>
  <c r="N161" i="31"/>
  <c r="M171" i="31" s="1"/>
  <c r="M172" i="31" s="1"/>
  <c r="Q144" i="31"/>
  <c r="R143" i="31"/>
  <c r="Y132" i="24"/>
  <c r="Z132" i="24" s="1"/>
  <c r="R129" i="32"/>
  <c r="P130" i="32"/>
  <c r="B155" i="24"/>
  <c r="C133" i="32"/>
  <c r="E133" i="32"/>
  <c r="D133" i="32"/>
  <c r="P139" i="32"/>
  <c r="R139" i="32" s="1"/>
  <c r="O155" i="24" s="1"/>
  <c r="F133" i="32"/>
  <c r="U132" i="25"/>
  <c r="V132" i="25" s="1"/>
  <c r="O132" i="25"/>
  <c r="P132" i="25" s="1"/>
  <c r="I132" i="25"/>
  <c r="J132" i="25" s="1"/>
  <c r="X132" i="25"/>
  <c r="Y132" i="25" s="1"/>
  <c r="R132" i="25"/>
  <c r="F132" i="25"/>
  <c r="L132" i="25"/>
  <c r="M132" i="25" s="1"/>
  <c r="X153" i="24"/>
  <c r="B119" i="33"/>
  <c r="H8" i="30"/>
  <c r="L7" i="9"/>
  <c r="K4" i="39" s="1"/>
  <c r="K3" i="39" s="1"/>
  <c r="G4" i="42" s="1"/>
  <c r="J4" i="11"/>
  <c r="H6" i="12"/>
  <c r="G17" i="7" l="1"/>
  <c r="O17" i="7" s="1"/>
  <c r="F8" i="4"/>
  <c r="F10" i="4" s="1"/>
  <c r="G12" i="50" s="1"/>
  <c r="G11" i="50" s="1"/>
  <c r="G10" i="50" s="1"/>
  <c r="G21" i="50" s="1"/>
  <c r="G22" i="50" s="1"/>
  <c r="G132" i="25"/>
  <c r="D132" i="25"/>
  <c r="Z150" i="24"/>
  <c r="Y150" i="24"/>
  <c r="AC131" i="24"/>
  <c r="R60" i="32"/>
  <c r="AD150" i="24"/>
  <c r="D154" i="24"/>
  <c r="D49" i="33"/>
  <c r="C49" i="33"/>
  <c r="C173" i="24" s="1"/>
  <c r="B173" i="24"/>
  <c r="F49" i="33"/>
  <c r="H22" i="30"/>
  <c r="K22" i="41" s="1"/>
  <c r="K21" i="41" s="1"/>
  <c r="M88" i="31"/>
  <c r="I188" i="31"/>
  <c r="I189" i="31" s="1"/>
  <c r="I46" i="31"/>
  <c r="O186" i="31"/>
  <c r="H188" i="31"/>
  <c r="H189" i="31" s="1"/>
  <c r="H46" i="31"/>
  <c r="Q102" i="31"/>
  <c r="R101" i="31"/>
  <c r="L63" i="31"/>
  <c r="K73" i="31" s="1"/>
  <c r="K74" i="31" s="1"/>
  <c r="O161" i="31"/>
  <c r="N171" i="31" s="1"/>
  <c r="N172" i="31" s="1"/>
  <c r="K35" i="31"/>
  <c r="J190" i="31"/>
  <c r="J45" i="31"/>
  <c r="O77" i="31"/>
  <c r="N87" i="31" s="1"/>
  <c r="B154" i="24"/>
  <c r="AG154" i="24" s="1"/>
  <c r="C91" i="32"/>
  <c r="C154" i="24" s="1"/>
  <c r="E91" i="32"/>
  <c r="F154" i="24" s="1"/>
  <c r="D91" i="32"/>
  <c r="F91" i="32"/>
  <c r="G91" i="32" s="1"/>
  <c r="H91" i="32" s="1"/>
  <c r="Q175" i="31"/>
  <c r="P185" i="31" s="1"/>
  <c r="P186" i="31" s="1"/>
  <c r="AA132" i="25"/>
  <c r="Y153" i="24"/>
  <c r="Z153" i="24"/>
  <c r="Q155" i="24"/>
  <c r="Q160" i="24" s="1"/>
  <c r="O160" i="24"/>
  <c r="F155" i="24"/>
  <c r="AG155" i="24"/>
  <c r="R130" i="32"/>
  <c r="AD153" i="24"/>
  <c r="R144" i="31"/>
  <c r="AD132" i="24"/>
  <c r="B176" i="24"/>
  <c r="D119" i="33"/>
  <c r="C119" i="33"/>
  <c r="C176" i="24" s="1"/>
  <c r="P125" i="33"/>
  <c r="G133" i="32"/>
  <c r="F143" i="32" s="1"/>
  <c r="C155" i="24"/>
  <c r="I91" i="32"/>
  <c r="AC132" i="24"/>
  <c r="D155" i="24"/>
  <c r="E155" i="24" s="1"/>
  <c r="K23" i="11"/>
  <c r="K57" i="11" s="1"/>
  <c r="M23" i="11"/>
  <c r="M57" i="11" s="1"/>
  <c r="L23" i="11"/>
  <c r="L57" i="11" s="1"/>
  <c r="K22" i="11"/>
  <c r="K56" i="11" s="1"/>
  <c r="H7" i="30"/>
  <c r="J21" i="11"/>
  <c r="J55" i="11" s="1"/>
  <c r="J27" i="11"/>
  <c r="J61" i="11" s="1"/>
  <c r="J33" i="11"/>
  <c r="J67" i="11" s="1"/>
  <c r="J23" i="11"/>
  <c r="J57" i="11" s="1"/>
  <c r="J24" i="11"/>
  <c r="J58" i="11" s="1"/>
  <c r="J26" i="11"/>
  <c r="J60" i="11" s="1"/>
  <c r="J28" i="11"/>
  <c r="J62" i="11" s="1"/>
  <c r="J30" i="11"/>
  <c r="J64" i="11" s="1"/>
  <c r="J32" i="11"/>
  <c r="J66" i="11" s="1"/>
  <c r="J34" i="11"/>
  <c r="J68" i="11" s="1"/>
  <c r="J36" i="11"/>
  <c r="J70" i="11" s="1"/>
  <c r="J22" i="11"/>
  <c r="J56" i="11" s="1"/>
  <c r="J25" i="11"/>
  <c r="J59" i="11" s="1"/>
  <c r="J29" i="11"/>
  <c r="J63" i="11" s="1"/>
  <c r="J31" i="11"/>
  <c r="J65" i="11" s="1"/>
  <c r="J35" i="11"/>
  <c r="J69" i="11" s="1"/>
  <c r="G8" i="53" l="1"/>
  <c r="G23" i="7"/>
  <c r="O23" i="7" s="1"/>
  <c r="G101" i="32"/>
  <c r="G102" i="32" s="1"/>
  <c r="AG173" i="24"/>
  <c r="E173" i="24"/>
  <c r="AA150" i="24"/>
  <c r="B152" i="25" s="1"/>
  <c r="AB150" i="24"/>
  <c r="D173" i="24"/>
  <c r="AC150" i="24"/>
  <c r="G49" i="33"/>
  <c r="F59" i="33" s="1"/>
  <c r="J41" i="11"/>
  <c r="J75" i="11" s="1"/>
  <c r="H20" i="30"/>
  <c r="O117" i="7"/>
  <c r="O119" i="7" s="1"/>
  <c r="N88" i="31"/>
  <c r="F101" i="32"/>
  <c r="F102" i="32" s="1"/>
  <c r="Q180" i="31"/>
  <c r="R175" i="31" s="1"/>
  <c r="X136" i="24" s="1"/>
  <c r="J46" i="31"/>
  <c r="J188" i="31"/>
  <c r="J189" i="31" s="1"/>
  <c r="L35" i="31"/>
  <c r="K45" i="31" s="1"/>
  <c r="K190" i="31"/>
  <c r="P161" i="31"/>
  <c r="O171" i="31" s="1"/>
  <c r="R102" i="31"/>
  <c r="AD131" i="24"/>
  <c r="P77" i="31"/>
  <c r="O87" i="31" s="1"/>
  <c r="E154" i="24"/>
  <c r="M63" i="31"/>
  <c r="L73" i="31" s="1"/>
  <c r="L74" i="31" s="1"/>
  <c r="P155" i="24"/>
  <c r="H133" i="32"/>
  <c r="G143" i="32" s="1"/>
  <c r="R125" i="33"/>
  <c r="O176" i="24" s="1"/>
  <c r="Q119" i="33"/>
  <c r="P160" i="24"/>
  <c r="H101" i="32"/>
  <c r="H102" i="32" s="1"/>
  <c r="J91" i="32"/>
  <c r="F144" i="32"/>
  <c r="AG176" i="24"/>
  <c r="E176" i="24"/>
  <c r="AA132" i="24"/>
  <c r="B134" i="25" s="1"/>
  <c r="AB132" i="24"/>
  <c r="AB153" i="24"/>
  <c r="AA153" i="24"/>
  <c r="B155" i="25" s="1"/>
  <c r="D176" i="24"/>
  <c r="AC153" i="24"/>
  <c r="H49" i="33" l="1"/>
  <c r="G59" i="33" s="1"/>
  <c r="G60" i="33" s="1"/>
  <c r="R152" i="25"/>
  <c r="X152" i="25"/>
  <c r="Y152" i="25" s="1"/>
  <c r="I152" i="25"/>
  <c r="J152" i="25" s="1"/>
  <c r="U152" i="25"/>
  <c r="V152" i="25" s="1"/>
  <c r="F152" i="25"/>
  <c r="L152" i="25"/>
  <c r="M152" i="25" s="1"/>
  <c r="O152" i="25"/>
  <c r="P152" i="25" s="1"/>
  <c r="F60" i="33"/>
  <c r="O88" i="31"/>
  <c r="N63" i="31"/>
  <c r="O63" i="31" s="1"/>
  <c r="M73" i="31"/>
  <c r="M74" i="31" s="1"/>
  <c r="Q161" i="31"/>
  <c r="P171" i="31" s="1"/>
  <c r="P172" i="31" s="1"/>
  <c r="Q185" i="31"/>
  <c r="R180" i="31"/>
  <c r="M136" i="24" s="1"/>
  <c r="N136" i="24" s="1"/>
  <c r="H134" i="24" s="1"/>
  <c r="Q148" i="31"/>
  <c r="Q77" i="31"/>
  <c r="P87" i="31" s="1"/>
  <c r="AA131" i="24"/>
  <c r="B133" i="25" s="1"/>
  <c r="AB131" i="24"/>
  <c r="O172" i="31"/>
  <c r="K188" i="31"/>
  <c r="K189" i="31" s="1"/>
  <c r="K46" i="31"/>
  <c r="M35" i="31"/>
  <c r="L190" i="31"/>
  <c r="L45" i="31"/>
  <c r="Y136" i="24"/>
  <c r="Z136" i="24"/>
  <c r="G144" i="32"/>
  <c r="U155" i="25"/>
  <c r="V155" i="25" s="1"/>
  <c r="R155" i="25"/>
  <c r="L155" i="25"/>
  <c r="M155" i="25" s="1"/>
  <c r="F155" i="25"/>
  <c r="I155" i="25"/>
  <c r="J155" i="25" s="1"/>
  <c r="O155" i="25"/>
  <c r="P155" i="25" s="1"/>
  <c r="X155" i="25"/>
  <c r="Y155" i="25" s="1"/>
  <c r="I101" i="32"/>
  <c r="I102" i="32" s="1"/>
  <c r="K91" i="32"/>
  <c r="P176" i="24"/>
  <c r="O134" i="25"/>
  <c r="P134" i="25" s="1"/>
  <c r="I134" i="25"/>
  <c r="J134" i="25" s="1"/>
  <c r="R134" i="25"/>
  <c r="F134" i="25"/>
  <c r="U134" i="25"/>
  <c r="V134" i="25" s="1"/>
  <c r="X134" i="25"/>
  <c r="Y134" i="25" s="1"/>
  <c r="L134" i="25"/>
  <c r="M134" i="25" s="1"/>
  <c r="R119" i="33"/>
  <c r="X176" i="24" s="1"/>
  <c r="P129" i="33"/>
  <c r="I133" i="32"/>
  <c r="H143" i="32" s="1"/>
  <c r="AA20" i="25"/>
  <c r="AA19" i="25"/>
  <c r="AA18" i="25"/>
  <c r="AA21" i="25"/>
  <c r="AA17" i="25"/>
  <c r="AA16" i="25"/>
  <c r="AA15" i="25"/>
  <c r="G10" i="53" l="1"/>
  <c r="H8" i="54"/>
  <c r="G23" i="50"/>
  <c r="G155" i="25"/>
  <c r="D155" i="25"/>
  <c r="G152" i="25"/>
  <c r="AA152" i="25" s="1"/>
  <c r="D152" i="25"/>
  <c r="G134" i="25"/>
  <c r="D134" i="25"/>
  <c r="I49" i="33"/>
  <c r="H59" i="33" s="1"/>
  <c r="P88" i="31"/>
  <c r="AC136" i="24"/>
  <c r="D159" i="24"/>
  <c r="Q186" i="31"/>
  <c r="R185" i="31"/>
  <c r="Q166" i="31"/>
  <c r="N73" i="31"/>
  <c r="N74" i="31" s="1"/>
  <c r="P63" i="31"/>
  <c r="L188" i="31"/>
  <c r="L189" i="31" s="1"/>
  <c r="L46" i="31"/>
  <c r="N35" i="31"/>
  <c r="M45" i="31" s="1"/>
  <c r="M190" i="31"/>
  <c r="X133" i="25"/>
  <c r="Y133" i="25" s="1"/>
  <c r="O133" i="25"/>
  <c r="P133" i="25" s="1"/>
  <c r="F133" i="25"/>
  <c r="I133" i="25"/>
  <c r="J133" i="25" s="1"/>
  <c r="R133" i="25"/>
  <c r="L133" i="25"/>
  <c r="M133" i="25" s="1"/>
  <c r="U133" i="25"/>
  <c r="V133" i="25" s="1"/>
  <c r="Q82" i="31"/>
  <c r="R147" i="31"/>
  <c r="R148" i="31"/>
  <c r="G134" i="24" s="1"/>
  <c r="H144" i="32"/>
  <c r="Y176" i="24"/>
  <c r="AC176" i="24" s="1"/>
  <c r="Z176" i="24"/>
  <c r="R129" i="33"/>
  <c r="P130" i="33"/>
  <c r="J101" i="32"/>
  <c r="J102" i="32" s="1"/>
  <c r="L91" i="32"/>
  <c r="M91" i="32" s="1"/>
  <c r="J133" i="32"/>
  <c r="I143" i="32" s="1"/>
  <c r="I144" i="32" s="1"/>
  <c r="AA134" i="25"/>
  <c r="AA155" i="25"/>
  <c r="AA14" i="25"/>
  <c r="AA61" i="25"/>
  <c r="AA67" i="25"/>
  <c r="AA66" i="25"/>
  <c r="AA64" i="25"/>
  <c r="AA65" i="25"/>
  <c r="AA62" i="25"/>
  <c r="AA63" i="25"/>
  <c r="AA89" i="25"/>
  <c r="AA88" i="25"/>
  <c r="AA86" i="25"/>
  <c r="AA85" i="25"/>
  <c r="AA87" i="25"/>
  <c r="AA90" i="25"/>
  <c r="AA84" i="25"/>
  <c r="J12" i="25"/>
  <c r="AA13" i="25"/>
  <c r="AA39" i="25"/>
  <c r="AA42" i="25"/>
  <c r="AA44" i="25"/>
  <c r="AA41" i="25"/>
  <c r="AA43" i="25"/>
  <c r="AA38" i="25"/>
  <c r="AA40" i="25"/>
  <c r="AA11" i="25"/>
  <c r="AA9" i="25" s="1"/>
  <c r="J9" i="25"/>
  <c r="J49" i="33" l="1"/>
  <c r="K49" i="33" s="1"/>
  <c r="H60" i="33"/>
  <c r="G133" i="25"/>
  <c r="D133" i="25"/>
  <c r="L6" i="11"/>
  <c r="L22" i="11" s="1"/>
  <c r="L56" i="11" s="1"/>
  <c r="J12" i="30"/>
  <c r="B147" i="32"/>
  <c r="X134" i="24"/>
  <c r="Y134" i="24" s="1"/>
  <c r="Q157" i="31"/>
  <c r="R77" i="31"/>
  <c r="Q64" i="31"/>
  <c r="R64" i="31" s="1"/>
  <c r="G128" i="24" s="1"/>
  <c r="R82" i="31"/>
  <c r="M129" i="24" s="1"/>
  <c r="M188" i="31"/>
  <c r="M189" i="31" s="1"/>
  <c r="M46" i="31"/>
  <c r="N190" i="31"/>
  <c r="O35" i="31"/>
  <c r="N45" i="31" s="1"/>
  <c r="R161" i="31"/>
  <c r="R166" i="31"/>
  <c r="M135" i="24" s="1"/>
  <c r="N135" i="24" s="1"/>
  <c r="H133" i="24" s="1"/>
  <c r="Q106" i="31"/>
  <c r="Q192" i="31"/>
  <c r="R192" i="31" s="1"/>
  <c r="Q191" i="31"/>
  <c r="R191" i="31" s="1"/>
  <c r="AA133" i="25"/>
  <c r="O73" i="31"/>
  <c r="Q63" i="31"/>
  <c r="AD136" i="24"/>
  <c r="AA136" i="24" s="1"/>
  <c r="B138" i="25" s="1"/>
  <c r="R186" i="31"/>
  <c r="K133" i="32"/>
  <c r="L133" i="32" s="1"/>
  <c r="K101" i="32"/>
  <c r="R130" i="33"/>
  <c r="AD176" i="24"/>
  <c r="L101" i="32"/>
  <c r="L102" i="32" s="1"/>
  <c r="N91" i="32"/>
  <c r="AA80" i="25"/>
  <c r="AA57" i="25"/>
  <c r="AA83" i="25"/>
  <c r="AA60" i="25"/>
  <c r="AA37" i="25"/>
  <c r="J8" i="25"/>
  <c r="J35" i="25"/>
  <c r="AA36" i="25"/>
  <c r="AA82" i="25"/>
  <c r="J81" i="25"/>
  <c r="J55" i="25"/>
  <c r="AA56" i="25"/>
  <c r="AA34" i="25"/>
  <c r="AA32" i="25" s="1"/>
  <c r="J32" i="25"/>
  <c r="AA79" i="25"/>
  <c r="J78" i="25"/>
  <c r="J58" i="25"/>
  <c r="AA59" i="25"/>
  <c r="AB136" i="24" l="1"/>
  <c r="I59" i="33"/>
  <c r="J59" i="33"/>
  <c r="J60" i="33" s="1"/>
  <c r="L49" i="33"/>
  <c r="U138" i="25"/>
  <c r="V138" i="25" s="1"/>
  <c r="I138" i="25"/>
  <c r="J138" i="25" s="1"/>
  <c r="L138" i="25"/>
  <c r="M138" i="25" s="1"/>
  <c r="F138" i="25"/>
  <c r="O138" i="25"/>
  <c r="P138" i="25" s="1"/>
  <c r="X138" i="25"/>
  <c r="Y138" i="25" s="1"/>
  <c r="R138" i="25"/>
  <c r="O74" i="31"/>
  <c r="R106" i="31"/>
  <c r="G133" i="24" s="1"/>
  <c r="G137" i="24" s="1"/>
  <c r="R105" i="31"/>
  <c r="X135" i="24"/>
  <c r="Q171" i="31"/>
  <c r="P35" i="31"/>
  <c r="O190" i="31"/>
  <c r="N129" i="24"/>
  <c r="M137" i="24"/>
  <c r="X129" i="24"/>
  <c r="Y129" i="24" s="1"/>
  <c r="B77" i="32"/>
  <c r="Q87" i="31"/>
  <c r="Z134" i="24"/>
  <c r="AC134" i="24"/>
  <c r="D157" i="24"/>
  <c r="P73" i="31"/>
  <c r="P74" i="31" s="1"/>
  <c r="R63" i="31"/>
  <c r="N188" i="31"/>
  <c r="N189" i="31" s="1"/>
  <c r="N46" i="31"/>
  <c r="Q158" i="31"/>
  <c r="R157" i="31"/>
  <c r="F147" i="32"/>
  <c r="G147" i="32" s="1"/>
  <c r="B157" i="24"/>
  <c r="AG157" i="24" s="1"/>
  <c r="D147" i="32"/>
  <c r="E147" i="32"/>
  <c r="F157" i="24" s="1"/>
  <c r="C147" i="32"/>
  <c r="C157" i="24" s="1"/>
  <c r="K102" i="32"/>
  <c r="J143" i="32"/>
  <c r="M101" i="32"/>
  <c r="M102" i="32" s="1"/>
  <c r="O91" i="32"/>
  <c r="AB176" i="24"/>
  <c r="AA176" i="24"/>
  <c r="B178" i="25" s="1"/>
  <c r="K143" i="32"/>
  <c r="K144" i="32" s="1"/>
  <c r="M133" i="32"/>
  <c r="L143" i="32" s="1"/>
  <c r="L144" i="32" s="1"/>
  <c r="D6" i="7"/>
  <c r="C6" i="7"/>
  <c r="C38" i="11" s="1"/>
  <c r="AA78" i="25"/>
  <c r="AA55" i="25"/>
  <c r="J77" i="25"/>
  <c r="J31" i="25"/>
  <c r="J54" i="25"/>
  <c r="G138" i="25" l="1"/>
  <c r="D138" i="25"/>
  <c r="K59" i="33"/>
  <c r="K60" i="33" s="1"/>
  <c r="M49" i="33"/>
  <c r="I60" i="33"/>
  <c r="F157" i="32"/>
  <c r="F158" i="32" s="1"/>
  <c r="H147" i="32"/>
  <c r="Q73" i="31"/>
  <c r="Q74" i="31" s="1"/>
  <c r="X128" i="24"/>
  <c r="Y128" i="24" s="1"/>
  <c r="B63" i="32"/>
  <c r="E157" i="24"/>
  <c r="F77" i="32"/>
  <c r="E77" i="32"/>
  <c r="F152" i="24" s="1"/>
  <c r="C77" i="32"/>
  <c r="C152" i="24" s="1"/>
  <c r="B152" i="24"/>
  <c r="AG152" i="24" s="1"/>
  <c r="D77" i="32"/>
  <c r="I30" i="30"/>
  <c r="Y135" i="24"/>
  <c r="Z135" i="24"/>
  <c r="AA138" i="25"/>
  <c r="R158" i="31"/>
  <c r="AD134" i="24"/>
  <c r="Q88" i="31"/>
  <c r="R87" i="31"/>
  <c r="Z129" i="24"/>
  <c r="AC129" i="24"/>
  <c r="D152" i="24"/>
  <c r="H128" i="24"/>
  <c r="H137" i="24" s="1"/>
  <c r="N137" i="24"/>
  <c r="O45" i="31"/>
  <c r="Q35" i="31"/>
  <c r="P190" i="31"/>
  <c r="P45" i="31"/>
  <c r="Q172" i="31"/>
  <c r="R171" i="31"/>
  <c r="B105" i="32"/>
  <c r="X133" i="24"/>
  <c r="Q115" i="31"/>
  <c r="R73" i="31"/>
  <c r="N133" i="32"/>
  <c r="M143" i="32" s="1"/>
  <c r="M144" i="32" s="1"/>
  <c r="U178" i="25"/>
  <c r="V178" i="25" s="1"/>
  <c r="O178" i="25"/>
  <c r="P178" i="25" s="1"/>
  <c r="I178" i="25"/>
  <c r="J178" i="25" s="1"/>
  <c r="X178" i="25"/>
  <c r="Y178" i="25" s="1"/>
  <c r="R178" i="25"/>
  <c r="F178" i="25"/>
  <c r="L178" i="25"/>
  <c r="M178" i="25" s="1"/>
  <c r="N101" i="32"/>
  <c r="N102" i="32" s="1"/>
  <c r="P91" i="32"/>
  <c r="O101" i="32" s="1"/>
  <c r="O102" i="32" s="1"/>
  <c r="J144" i="32"/>
  <c r="E6" i="7"/>
  <c r="H38" i="11" s="1"/>
  <c r="H72" i="11" s="1"/>
  <c r="H89" i="11" s="1"/>
  <c r="H123" i="11" s="1"/>
  <c r="F6" i="7"/>
  <c r="F38" i="11"/>
  <c r="F72" i="11" s="1"/>
  <c r="F89" i="11" s="1"/>
  <c r="E38" i="11"/>
  <c r="E72" i="11" s="1"/>
  <c r="E89" i="11" s="1"/>
  <c r="G38" i="11"/>
  <c r="G72" i="11" s="1"/>
  <c r="G89" i="11" s="1"/>
  <c r="C72" i="11"/>
  <c r="C89" i="11" s="1"/>
  <c r="C123" i="11" s="1"/>
  <c r="L59" i="33" l="1"/>
  <c r="N49" i="33"/>
  <c r="M59" i="33" s="1"/>
  <c r="M60" i="33" s="1"/>
  <c r="G178" i="25"/>
  <c r="D178" i="25"/>
  <c r="E152" i="24"/>
  <c r="K54" i="11"/>
  <c r="P118" i="7"/>
  <c r="Q116" i="31"/>
  <c r="R115" i="31"/>
  <c r="B156" i="24"/>
  <c r="AG156" i="24" s="1"/>
  <c r="F105" i="32"/>
  <c r="G105" i="32" s="1"/>
  <c r="D105" i="32"/>
  <c r="C105" i="32"/>
  <c r="C156" i="24" s="1"/>
  <c r="E105" i="32"/>
  <c r="F156" i="24" s="1"/>
  <c r="O188" i="31"/>
  <c r="O189" i="31" s="1"/>
  <c r="O46" i="31"/>
  <c r="R88" i="31"/>
  <c r="AD129" i="24"/>
  <c r="AA129" i="24" s="1"/>
  <c r="B131" i="25" s="1"/>
  <c r="AA134" i="24"/>
  <c r="B136" i="25" s="1"/>
  <c r="AB134" i="24"/>
  <c r="AC135" i="24"/>
  <c r="D158" i="24"/>
  <c r="Z128" i="24"/>
  <c r="D151" i="24"/>
  <c r="AC128" i="24"/>
  <c r="G157" i="32"/>
  <c r="G158" i="32" s="1"/>
  <c r="I147" i="32"/>
  <c r="H157" i="32" s="1"/>
  <c r="H158" i="32" s="1"/>
  <c r="R74" i="31"/>
  <c r="AD128" i="24"/>
  <c r="AA128" i="24" s="1"/>
  <c r="Y133" i="24"/>
  <c r="Z133" i="24" s="1"/>
  <c r="R172" i="31"/>
  <c r="AD135" i="24"/>
  <c r="P188" i="31"/>
  <c r="P189" i="31" s="1"/>
  <c r="P46" i="31"/>
  <c r="Q190" i="31"/>
  <c r="R35" i="31"/>
  <c r="G77" i="32"/>
  <c r="F87" i="32" s="1"/>
  <c r="F88" i="32" s="1"/>
  <c r="B151" i="24"/>
  <c r="AG151" i="24" s="1"/>
  <c r="AH150" i="24" s="1"/>
  <c r="C63" i="32"/>
  <c r="C151" i="24" s="1"/>
  <c r="F63" i="32"/>
  <c r="D63" i="32"/>
  <c r="E63" i="32"/>
  <c r="F151" i="24" s="1"/>
  <c r="AA178" i="25"/>
  <c r="Q91" i="32"/>
  <c r="P101" i="32" s="1"/>
  <c r="P102" i="32" s="1"/>
  <c r="O133" i="32"/>
  <c r="C131" i="11"/>
  <c r="C127" i="11"/>
  <c r="I38" i="11"/>
  <c r="I72" i="11" s="1"/>
  <c r="I89" i="11" s="1"/>
  <c r="I123" i="11" s="1"/>
  <c r="H127" i="11"/>
  <c r="H131" i="11"/>
  <c r="O49" i="33" l="1"/>
  <c r="N59" i="33" s="1"/>
  <c r="N60" i="33" s="1"/>
  <c r="L60" i="33"/>
  <c r="E151" i="24"/>
  <c r="G63" i="32"/>
  <c r="F73" i="32" s="1"/>
  <c r="F74" i="32" s="1"/>
  <c r="H77" i="32"/>
  <c r="G87" i="32" s="1"/>
  <c r="G88" i="32" s="1"/>
  <c r="D156" i="24"/>
  <c r="E156" i="24" s="1"/>
  <c r="AC133" i="24"/>
  <c r="AB128" i="24"/>
  <c r="U136" i="25"/>
  <c r="V136" i="25" s="1"/>
  <c r="X136" i="25"/>
  <c r="Y136" i="25" s="1"/>
  <c r="I136" i="25"/>
  <c r="J136" i="25" s="1"/>
  <c r="F136" i="25"/>
  <c r="O136" i="25"/>
  <c r="P136" i="25" s="1"/>
  <c r="L136" i="25"/>
  <c r="M136" i="25" s="1"/>
  <c r="R136" i="25"/>
  <c r="F115" i="32"/>
  <c r="F116" i="32" s="1"/>
  <c r="H105" i="32"/>
  <c r="G115" i="32" s="1"/>
  <c r="G116" i="32" s="1"/>
  <c r="AD133" i="24"/>
  <c r="R116" i="31"/>
  <c r="Q45" i="31"/>
  <c r="X125" i="24"/>
  <c r="R190" i="31"/>
  <c r="B35" i="32"/>
  <c r="AA135" i="24"/>
  <c r="B137" i="25" s="1"/>
  <c r="AB135" i="24"/>
  <c r="B130" i="25"/>
  <c r="J147" i="32"/>
  <c r="K147" i="32" s="1"/>
  <c r="I131" i="25"/>
  <c r="J131" i="25" s="1"/>
  <c r="X131" i="25"/>
  <c r="Y131" i="25" s="1"/>
  <c r="R131" i="25"/>
  <c r="U131" i="25"/>
  <c r="V131" i="25" s="1"/>
  <c r="O131" i="25"/>
  <c r="P131" i="25" s="1"/>
  <c r="F131" i="25"/>
  <c r="L131" i="25"/>
  <c r="M131" i="25" s="1"/>
  <c r="AB129" i="24"/>
  <c r="P133" i="32"/>
  <c r="O143" i="32" s="1"/>
  <c r="O144" i="32" s="1"/>
  <c r="N143" i="32"/>
  <c r="N144" i="32" s="1"/>
  <c r="Q96" i="32"/>
  <c r="I127" i="11"/>
  <c r="I131" i="11"/>
  <c r="G131" i="25" l="1"/>
  <c r="D131" i="25"/>
  <c r="G136" i="25"/>
  <c r="D136" i="25"/>
  <c r="P49" i="33"/>
  <c r="O59" i="33" s="1"/>
  <c r="AA131" i="25"/>
  <c r="I157" i="32"/>
  <c r="I158" i="32" s="1"/>
  <c r="J157" i="32"/>
  <c r="J158" i="32" s="1"/>
  <c r="L147" i="32"/>
  <c r="R130" i="25"/>
  <c r="U130" i="25"/>
  <c r="I130" i="25"/>
  <c r="L130" i="25"/>
  <c r="F130" i="25"/>
  <c r="O130" i="25"/>
  <c r="X130" i="25"/>
  <c r="L137" i="25"/>
  <c r="M137" i="25" s="1"/>
  <c r="R137" i="25"/>
  <c r="F137" i="25"/>
  <c r="O137" i="25"/>
  <c r="P137" i="25" s="1"/>
  <c r="U137" i="25"/>
  <c r="V137" i="25" s="1"/>
  <c r="X137" i="25"/>
  <c r="Y137" i="25" s="1"/>
  <c r="I137" i="25"/>
  <c r="J137" i="25" s="1"/>
  <c r="Q188" i="31"/>
  <c r="Q189" i="31" s="1"/>
  <c r="Q46" i="31"/>
  <c r="R45" i="31"/>
  <c r="AA133" i="24"/>
  <c r="AB133" i="24"/>
  <c r="I105" i="32"/>
  <c r="J105" i="32" s="1"/>
  <c r="E35" i="32"/>
  <c r="H162" i="32"/>
  <c r="D35" i="32"/>
  <c r="D190" i="32" s="1"/>
  <c r="B190" i="32"/>
  <c r="B148" i="24"/>
  <c r="C35" i="32"/>
  <c r="F35" i="32"/>
  <c r="H176" i="32"/>
  <c r="Z125" i="24"/>
  <c r="Y125" i="24"/>
  <c r="X137" i="24"/>
  <c r="AA136" i="25"/>
  <c r="I77" i="32"/>
  <c r="H63" i="32"/>
  <c r="Q78" i="32"/>
  <c r="R96" i="32"/>
  <c r="M154" i="24" s="1"/>
  <c r="Q133" i="32"/>
  <c r="P143" i="32" s="1"/>
  <c r="P144" i="32" s="1"/>
  <c r="AA109" i="25"/>
  <c r="AA107" i="25"/>
  <c r="AA108" i="25"/>
  <c r="AA110" i="25"/>
  <c r="AA113" i="25"/>
  <c r="AA111" i="25"/>
  <c r="AA112" i="25"/>
  <c r="G137" i="25" l="1"/>
  <c r="D137" i="25"/>
  <c r="H115" i="32"/>
  <c r="H116" i="32" s="1"/>
  <c r="D130" i="25"/>
  <c r="O60" i="33"/>
  <c r="Q49" i="33"/>
  <c r="P59" i="33" s="1"/>
  <c r="P60" i="33" s="1"/>
  <c r="H68" i="32"/>
  <c r="I63" i="32" s="1"/>
  <c r="H73" i="32" s="1"/>
  <c r="H74" i="32" s="1"/>
  <c r="J77" i="32"/>
  <c r="I87" i="32" s="1"/>
  <c r="I88" i="32" s="1"/>
  <c r="H191" i="32"/>
  <c r="H192" i="32"/>
  <c r="R176" i="32"/>
  <c r="G159" i="24" s="1"/>
  <c r="H159" i="24" s="1"/>
  <c r="I175" i="32"/>
  <c r="C148" i="24"/>
  <c r="C160" i="24" s="1"/>
  <c r="C190" i="32"/>
  <c r="R162" i="32"/>
  <c r="G158" i="24" s="1"/>
  <c r="I161" i="32"/>
  <c r="R188" i="31"/>
  <c r="R189" i="31" s="1"/>
  <c r="R46" i="31"/>
  <c r="AD125" i="24"/>
  <c r="P130" i="25"/>
  <c r="M130" i="25"/>
  <c r="V130" i="25"/>
  <c r="K157" i="32"/>
  <c r="K158" i="32" s="1"/>
  <c r="M147" i="32"/>
  <c r="L157" i="32" s="1"/>
  <c r="L158" i="32" s="1"/>
  <c r="G73" i="32"/>
  <c r="G74" i="32" s="1"/>
  <c r="H87" i="32"/>
  <c r="H88" i="32" s="1"/>
  <c r="D148" i="24"/>
  <c r="D160" i="24" s="1"/>
  <c r="Y137" i="24"/>
  <c r="AC137" i="24" s="1"/>
  <c r="AC125" i="24"/>
  <c r="AB125" i="24" s="1"/>
  <c r="G35" i="32"/>
  <c r="F45" i="32" s="1"/>
  <c r="F190" i="32"/>
  <c r="AG148" i="24"/>
  <c r="B160" i="24"/>
  <c r="F148" i="24"/>
  <c r="F160" i="24" s="1"/>
  <c r="E190" i="32"/>
  <c r="I115" i="32"/>
  <c r="I116" i="32" s="1"/>
  <c r="K105" i="32"/>
  <c r="J115" i="32" s="1"/>
  <c r="J116" i="32" s="1"/>
  <c r="B135" i="25"/>
  <c r="AA137" i="25"/>
  <c r="Y130" i="25"/>
  <c r="G130" i="25"/>
  <c r="J130" i="25"/>
  <c r="R78" i="32"/>
  <c r="G152" i="24" s="1"/>
  <c r="N154" i="24"/>
  <c r="AA103" i="25"/>
  <c r="AA106" i="25"/>
  <c r="J104" i="25"/>
  <c r="AA105" i="25"/>
  <c r="J101" i="25"/>
  <c r="AA102" i="25"/>
  <c r="R49" i="33" l="1"/>
  <c r="X173" i="24" s="1"/>
  <c r="E160" i="24"/>
  <c r="E148" i="24"/>
  <c r="AA130" i="25"/>
  <c r="I135" i="25"/>
  <c r="L135" i="25"/>
  <c r="U135" i="25"/>
  <c r="R135" i="25"/>
  <c r="R127" i="25" s="1"/>
  <c r="X135" i="25"/>
  <c r="O135" i="25"/>
  <c r="F135" i="25"/>
  <c r="B127" i="25"/>
  <c r="AG160" i="24"/>
  <c r="AH146" i="24"/>
  <c r="AA125" i="24"/>
  <c r="AD137" i="24"/>
  <c r="H158" i="24"/>
  <c r="K77" i="32"/>
  <c r="J87" i="32" s="1"/>
  <c r="J88" i="32" s="1"/>
  <c r="R68" i="32"/>
  <c r="M151" i="24" s="1"/>
  <c r="N151" i="24" s="1"/>
  <c r="H148" i="24" s="1"/>
  <c r="H36" i="32"/>
  <c r="R36" i="32" s="1"/>
  <c r="G148" i="24" s="1"/>
  <c r="L105" i="32"/>
  <c r="M105" i="32" s="1"/>
  <c r="F188" i="32"/>
  <c r="F189" i="32" s="1"/>
  <c r="F46" i="32"/>
  <c r="G190" i="32"/>
  <c r="H35" i="32"/>
  <c r="G45" i="32" s="1"/>
  <c r="N147" i="32"/>
  <c r="O147" i="32" s="1"/>
  <c r="J161" i="32"/>
  <c r="I171" i="32" s="1"/>
  <c r="I172" i="32" s="1"/>
  <c r="H171" i="32"/>
  <c r="H172" i="32" s="1"/>
  <c r="J175" i="32"/>
  <c r="I185" i="32" s="1"/>
  <c r="I186" i="32" s="1"/>
  <c r="H185" i="32"/>
  <c r="H186" i="32" s="1"/>
  <c r="Z137" i="24"/>
  <c r="J63" i="32"/>
  <c r="I73" i="32" s="1"/>
  <c r="I74" i="32" s="1"/>
  <c r="H152" i="24"/>
  <c r="AA101" i="25"/>
  <c r="J100" i="25"/>
  <c r="Q59" i="33" l="1"/>
  <c r="Z173" i="24"/>
  <c r="Y173" i="24"/>
  <c r="AC173" i="24" s="1"/>
  <c r="D135" i="25"/>
  <c r="D127" i="25" s="1"/>
  <c r="M157" i="32"/>
  <c r="M158" i="32" s="1"/>
  <c r="K115" i="32"/>
  <c r="K116" i="32" s="1"/>
  <c r="G188" i="32"/>
  <c r="G189" i="32" s="1"/>
  <c r="G46" i="32"/>
  <c r="K63" i="32"/>
  <c r="J73" i="32" s="1"/>
  <c r="J74" i="32" s="1"/>
  <c r="K175" i="32"/>
  <c r="J185" i="32" s="1"/>
  <c r="J186" i="32" s="1"/>
  <c r="N157" i="32"/>
  <c r="N158" i="32" s="1"/>
  <c r="P147" i="32"/>
  <c r="L115" i="32"/>
  <c r="L116" i="32" s="1"/>
  <c r="N105" i="32"/>
  <c r="O105" i="32" s="1"/>
  <c r="N115" i="32" s="1"/>
  <c r="N116" i="32" s="1"/>
  <c r="B126" i="25"/>
  <c r="AA137" i="24"/>
  <c r="G135" i="25"/>
  <c r="F127" i="25"/>
  <c r="Y135" i="25"/>
  <c r="Y127" i="25" s="1"/>
  <c r="X127" i="25"/>
  <c r="V135" i="25"/>
  <c r="V127" i="25" s="1"/>
  <c r="U127" i="25"/>
  <c r="J135" i="25"/>
  <c r="J127" i="25" s="1"/>
  <c r="I127" i="25"/>
  <c r="K161" i="32"/>
  <c r="J171" i="32" s="1"/>
  <c r="J172" i="32" s="1"/>
  <c r="I35" i="32"/>
  <c r="H45" i="32" s="1"/>
  <c r="H190" i="32"/>
  <c r="L77" i="32"/>
  <c r="K87" i="32" s="1"/>
  <c r="K88" i="32" s="1"/>
  <c r="P135" i="25"/>
  <c r="P127" i="25" s="1"/>
  <c r="O127" i="25"/>
  <c r="M135" i="25"/>
  <c r="M127" i="25" s="1"/>
  <c r="L127" i="25"/>
  <c r="P105" i="32"/>
  <c r="G6" i="7"/>
  <c r="Q60" i="33" l="1"/>
  <c r="R59" i="33"/>
  <c r="M115" i="32"/>
  <c r="M116" i="32" s="1"/>
  <c r="M77" i="32"/>
  <c r="L87" i="32" s="1"/>
  <c r="L88" i="32" s="1"/>
  <c r="AA135" i="25"/>
  <c r="AA127" i="25" s="1"/>
  <c r="G127" i="25"/>
  <c r="B124" i="25"/>
  <c r="B123" i="25" s="1"/>
  <c r="L126" i="25"/>
  <c r="O126" i="25"/>
  <c r="I126" i="25"/>
  <c r="X126" i="25"/>
  <c r="F126" i="25"/>
  <c r="R126" i="25"/>
  <c r="R124" i="25" s="1"/>
  <c r="R123" i="25" s="1"/>
  <c r="U126" i="25"/>
  <c r="L175" i="32"/>
  <c r="L63" i="32"/>
  <c r="H188" i="32"/>
  <c r="H189" i="32" s="1"/>
  <c r="H46" i="32"/>
  <c r="J35" i="32"/>
  <c r="I190" i="32"/>
  <c r="I45" i="32"/>
  <c r="L161" i="32"/>
  <c r="K171" i="32" s="1"/>
  <c r="K172" i="32" s="1"/>
  <c r="F20" i="5"/>
  <c r="D31" i="5"/>
  <c r="O157" i="32"/>
  <c r="O158" i="32" s="1"/>
  <c r="Q147" i="32"/>
  <c r="Q105" i="32"/>
  <c r="O115" i="32"/>
  <c r="O116" i="32" s="1"/>
  <c r="J38" i="11"/>
  <c r="J72" i="11" s="1"/>
  <c r="J89" i="11" s="1"/>
  <c r="J123" i="11" s="1"/>
  <c r="D126" i="25" l="1"/>
  <c r="D124" i="25" s="1"/>
  <c r="AD173" i="24"/>
  <c r="R60" i="33"/>
  <c r="I17" i="14"/>
  <c r="I46" i="32"/>
  <c r="I188" i="32"/>
  <c r="I189" i="32" s="1"/>
  <c r="K35" i="32"/>
  <c r="J45" i="32" s="1"/>
  <c r="J190" i="32"/>
  <c r="M63" i="32"/>
  <c r="L73" i="32" s="1"/>
  <c r="L74" i="32" s="1"/>
  <c r="M175" i="32"/>
  <c r="Y126" i="25"/>
  <c r="Y124" i="25" s="1"/>
  <c r="Y123" i="25" s="1"/>
  <c r="X124" i="25"/>
  <c r="X123" i="25" s="1"/>
  <c r="O124" i="25"/>
  <c r="O123" i="25" s="1"/>
  <c r="P126" i="25"/>
  <c r="P124" i="25" s="1"/>
  <c r="P123" i="25" s="1"/>
  <c r="N77" i="32"/>
  <c r="M87" i="32" s="1"/>
  <c r="P157" i="32"/>
  <c r="P158" i="32" s="1"/>
  <c r="Q152" i="32"/>
  <c r="G20" i="5"/>
  <c r="F31" i="5"/>
  <c r="I20" i="29"/>
  <c r="I21" i="29"/>
  <c r="M161" i="32"/>
  <c r="L171" i="32" s="1"/>
  <c r="L172" i="32" s="1"/>
  <c r="K73" i="32"/>
  <c r="K185" i="32"/>
  <c r="K186" i="32" s="1"/>
  <c r="V126" i="25"/>
  <c r="V124" i="25" s="1"/>
  <c r="V123" i="25" s="1"/>
  <c r="U124" i="25"/>
  <c r="U123" i="25" s="1"/>
  <c r="G126" i="25"/>
  <c r="F124" i="25"/>
  <c r="F123" i="25" s="1"/>
  <c r="I124" i="25"/>
  <c r="I123" i="25" s="1"/>
  <c r="J126" i="25"/>
  <c r="J124" i="25" s="1"/>
  <c r="J123" i="25" s="1"/>
  <c r="L124" i="25"/>
  <c r="L123" i="25" s="1"/>
  <c r="M126" i="25"/>
  <c r="M124" i="25" s="1"/>
  <c r="M123" i="25" s="1"/>
  <c r="Q110" i="32"/>
  <c r="P115" i="32"/>
  <c r="P116" i="32" s="1"/>
  <c r="J127" i="11"/>
  <c r="J131" i="11"/>
  <c r="AA173" i="24" l="1"/>
  <c r="B175" i="25" s="1"/>
  <c r="AB173" i="24"/>
  <c r="I23" i="29"/>
  <c r="M88" i="32"/>
  <c r="G31" i="5"/>
  <c r="H20" i="5"/>
  <c r="H16" i="7" s="1"/>
  <c r="P16" i="7" s="1"/>
  <c r="N175" i="32"/>
  <c r="M185" i="32" s="1"/>
  <c r="M186" i="32" s="1"/>
  <c r="Q134" i="32"/>
  <c r="R152" i="32"/>
  <c r="M157" i="24" s="1"/>
  <c r="N157" i="24" s="1"/>
  <c r="H155" i="24" s="1"/>
  <c r="K5" i="11"/>
  <c r="I10" i="30"/>
  <c r="I9" i="30" s="1"/>
  <c r="L185" i="32"/>
  <c r="L186" i="32" s="1"/>
  <c r="J188" i="32"/>
  <c r="J189" i="32" s="1"/>
  <c r="J46" i="32"/>
  <c r="L35" i="32"/>
  <c r="K45" i="32" s="1"/>
  <c r="K190" i="32"/>
  <c r="AA126" i="25"/>
  <c r="AA124" i="25" s="1"/>
  <c r="G124" i="25"/>
  <c r="G123" i="25" s="1"/>
  <c r="K74" i="32"/>
  <c r="N161" i="32"/>
  <c r="O77" i="32"/>
  <c r="N87" i="32" s="1"/>
  <c r="N63" i="32"/>
  <c r="Q92" i="32"/>
  <c r="R110" i="32"/>
  <c r="M156" i="24" s="1"/>
  <c r="AA23" i="25"/>
  <c r="H23" i="7" l="1"/>
  <c r="P23" i="7" s="1"/>
  <c r="G8" i="4"/>
  <c r="U175" i="25"/>
  <c r="V175" i="25" s="1"/>
  <c r="F175" i="25"/>
  <c r="O175" i="25"/>
  <c r="P175" i="25" s="1"/>
  <c r="R175" i="25"/>
  <c r="X175" i="25"/>
  <c r="Y175" i="25" s="1"/>
  <c r="L175" i="25"/>
  <c r="M175" i="25" s="1"/>
  <c r="I175" i="25"/>
  <c r="J175" i="25" s="1"/>
  <c r="I8" i="30"/>
  <c r="I7" i="30" s="1"/>
  <c r="I22" i="30"/>
  <c r="N88" i="32"/>
  <c r="K46" i="32"/>
  <c r="K188" i="32"/>
  <c r="K189" i="32" s="1"/>
  <c r="O63" i="32"/>
  <c r="N73" i="32" s="1"/>
  <c r="N74" i="32" s="1"/>
  <c r="O161" i="32"/>
  <c r="N171" i="32" s="1"/>
  <c r="M73" i="32"/>
  <c r="M171" i="32"/>
  <c r="M172" i="32" s="1"/>
  <c r="K21" i="11"/>
  <c r="K55" i="11" s="1"/>
  <c r="R133" i="32"/>
  <c r="R134" i="32"/>
  <c r="G155" i="24" s="1"/>
  <c r="O175" i="32"/>
  <c r="N185" i="32" s="1"/>
  <c r="P77" i="32"/>
  <c r="Q77" i="32" s="1"/>
  <c r="AA123" i="25"/>
  <c r="M35" i="32"/>
  <c r="L190" i="32"/>
  <c r="L45" i="32"/>
  <c r="K4" i="11"/>
  <c r="I6" i="12"/>
  <c r="M7" i="9"/>
  <c r="H31" i="5"/>
  <c r="I34" i="30" s="1"/>
  <c r="N156" i="24"/>
  <c r="R92" i="32"/>
  <c r="G154" i="24" s="1"/>
  <c r="R91" i="32"/>
  <c r="H17" i="7" l="1"/>
  <c r="P17" i="7" s="1"/>
  <c r="G175" i="25"/>
  <c r="AA175" i="25" s="1"/>
  <c r="D175" i="25"/>
  <c r="K41" i="11"/>
  <c r="I20" i="30"/>
  <c r="I19" i="30" s="1"/>
  <c r="I33" i="30" s="1"/>
  <c r="H20" i="7"/>
  <c r="P117" i="7"/>
  <c r="P119" i="7" s="1"/>
  <c r="H14" i="7"/>
  <c r="N172" i="32"/>
  <c r="L188" i="32"/>
  <c r="L189" i="32" s="1"/>
  <c r="L46" i="32"/>
  <c r="N35" i="32"/>
  <c r="M190" i="32"/>
  <c r="M45" i="32"/>
  <c r="O87" i="32"/>
  <c r="P175" i="32"/>
  <c r="O185" i="32" s="1"/>
  <c r="O186" i="32" s="1"/>
  <c r="H6" i="7"/>
  <c r="P87" i="32"/>
  <c r="P88" i="32" s="1"/>
  <c r="Q82" i="32"/>
  <c r="R77" i="32" s="1"/>
  <c r="N186" i="32"/>
  <c r="B133" i="33"/>
  <c r="X155" i="24"/>
  <c r="Y155" i="24" s="1"/>
  <c r="Q143" i="32"/>
  <c r="M74" i="32"/>
  <c r="P161" i="32"/>
  <c r="O171" i="32" s="1"/>
  <c r="O172" i="32" s="1"/>
  <c r="P63" i="32"/>
  <c r="O73" i="32" s="1"/>
  <c r="O74" i="32" s="1"/>
  <c r="X154" i="24"/>
  <c r="B91" i="33"/>
  <c r="Q101" i="32"/>
  <c r="H154" i="24"/>
  <c r="K40" i="11" l="1"/>
  <c r="K74" i="11" s="1"/>
  <c r="K91" i="11" s="1"/>
  <c r="K125" i="11" s="1"/>
  <c r="K133" i="11" s="1"/>
  <c r="I74" i="30"/>
  <c r="K39" i="11"/>
  <c r="K73" i="11" s="1"/>
  <c r="K90" i="11" s="1"/>
  <c r="K124" i="11" s="1"/>
  <c r="X152" i="24"/>
  <c r="B77" i="33"/>
  <c r="Q87" i="32"/>
  <c r="Q88" i="32" s="1"/>
  <c r="Q63" i="32"/>
  <c r="P73" i="32" s="1"/>
  <c r="P74" i="32" s="1"/>
  <c r="Q161" i="32"/>
  <c r="P171" i="32" s="1"/>
  <c r="Q144" i="32"/>
  <c r="R143" i="32"/>
  <c r="E133" i="33"/>
  <c r="F178" i="24" s="1"/>
  <c r="P139" i="33"/>
  <c r="R139" i="33" s="1"/>
  <c r="O178" i="24" s="1"/>
  <c r="D133" i="33"/>
  <c r="B178" i="24"/>
  <c r="AG178" i="24" s="1"/>
  <c r="C133" i="33"/>
  <c r="C178" i="24" s="1"/>
  <c r="F133" i="33"/>
  <c r="G133" i="33" s="1"/>
  <c r="Q175" i="32"/>
  <c r="P185" i="32" s="1"/>
  <c r="I67" i="30"/>
  <c r="Z155" i="24"/>
  <c r="AC155" i="24"/>
  <c r="D178" i="24"/>
  <c r="Q64" i="32"/>
  <c r="R64" i="32" s="1"/>
  <c r="G151" i="24" s="1"/>
  <c r="R82" i="32"/>
  <c r="M152" i="24" s="1"/>
  <c r="H117" i="7"/>
  <c r="O88" i="32"/>
  <c r="R87" i="32"/>
  <c r="M188" i="32"/>
  <c r="M189" i="32" s="1"/>
  <c r="M46" i="32"/>
  <c r="O35" i="32"/>
  <c r="N190" i="32"/>
  <c r="N45" i="32"/>
  <c r="E91" i="33"/>
  <c r="F177" i="24" s="1"/>
  <c r="B177" i="24"/>
  <c r="AG177" i="24" s="1"/>
  <c r="F91" i="33"/>
  <c r="D91" i="33"/>
  <c r="C91" i="33"/>
  <c r="C177" i="24" s="1"/>
  <c r="Q102" i="32"/>
  <c r="R101" i="32"/>
  <c r="Y154" i="24"/>
  <c r="Z154" i="24" s="1"/>
  <c r="AA115" i="25"/>
  <c r="AA92" i="25"/>
  <c r="AA69" i="25"/>
  <c r="AA46" i="25"/>
  <c r="V81" i="25"/>
  <c r="AA91" i="25"/>
  <c r="V35" i="25"/>
  <c r="AA45" i="25"/>
  <c r="V104" i="25"/>
  <c r="AA114" i="25"/>
  <c r="V58" i="25"/>
  <c r="AA68" i="25"/>
  <c r="E178" i="24" l="1"/>
  <c r="K129" i="11"/>
  <c r="K132" i="11"/>
  <c r="K128" i="11"/>
  <c r="P172" i="32"/>
  <c r="R88" i="32"/>
  <c r="AD152" i="24"/>
  <c r="N152" i="24"/>
  <c r="Q180" i="32"/>
  <c r="R175" i="32" s="1"/>
  <c r="F143" i="33"/>
  <c r="F144" i="33" s="1"/>
  <c r="H133" i="33"/>
  <c r="Q178" i="24"/>
  <c r="Q183" i="24" s="1"/>
  <c r="O183" i="24"/>
  <c r="P178" i="24"/>
  <c r="R144" i="32"/>
  <c r="AD155" i="24"/>
  <c r="AA155" i="24" s="1"/>
  <c r="B157" i="25" s="1"/>
  <c r="B175" i="24"/>
  <c r="F77" i="33"/>
  <c r="G77" i="33" s="1"/>
  <c r="E77" i="33"/>
  <c r="F175" i="24" s="1"/>
  <c r="C77" i="33"/>
  <c r="C175" i="24" s="1"/>
  <c r="D77" i="33"/>
  <c r="N188" i="32"/>
  <c r="N189" i="32" s="1"/>
  <c r="N46" i="32"/>
  <c r="P35" i="32"/>
  <c r="O45" i="32" s="1"/>
  <c r="O190" i="32"/>
  <c r="K38" i="11"/>
  <c r="K72" i="11" s="1"/>
  <c r="K89" i="11" s="1"/>
  <c r="K123" i="11" s="1"/>
  <c r="AB155" i="24"/>
  <c r="P186" i="32"/>
  <c r="Q166" i="32"/>
  <c r="R161" i="32" s="1"/>
  <c r="X158" i="24" s="1"/>
  <c r="R63" i="32"/>
  <c r="Q73" i="32" s="1"/>
  <c r="Y152" i="24"/>
  <c r="Z152" i="24"/>
  <c r="AD154" i="24"/>
  <c r="AA154" i="24" s="1"/>
  <c r="R102" i="32"/>
  <c r="D177" i="24"/>
  <c r="E177" i="24" s="1"/>
  <c r="AC154" i="24"/>
  <c r="G91" i="33"/>
  <c r="F101" i="33" s="1"/>
  <c r="AA58" i="25"/>
  <c r="AA54" i="25" s="1"/>
  <c r="AA104" i="25"/>
  <c r="AA81" i="25"/>
  <c r="AA35" i="25"/>
  <c r="V100" i="25"/>
  <c r="V77" i="25"/>
  <c r="V54" i="25"/>
  <c r="V31" i="25"/>
  <c r="AB154" i="24" l="1"/>
  <c r="X159" i="24"/>
  <c r="Q185" i="32"/>
  <c r="Q74" i="32"/>
  <c r="R73" i="32"/>
  <c r="Q171" i="32"/>
  <c r="R166" i="32"/>
  <c r="M158" i="24" s="1"/>
  <c r="Q106" i="32"/>
  <c r="K37" i="11"/>
  <c r="K71" i="11" s="1"/>
  <c r="K88" i="11" s="1"/>
  <c r="P190" i="32"/>
  <c r="Q35" i="32"/>
  <c r="F87" i="33"/>
  <c r="F88" i="33" s="1"/>
  <c r="H77" i="33"/>
  <c r="G87" i="33" s="1"/>
  <c r="G88" i="33" s="1"/>
  <c r="L157" i="25"/>
  <c r="M157" i="25" s="1"/>
  <c r="R157" i="25"/>
  <c r="F157" i="25"/>
  <c r="X157" i="25"/>
  <c r="Y157" i="25" s="1"/>
  <c r="U157" i="25"/>
  <c r="V157" i="25" s="1"/>
  <c r="O157" i="25"/>
  <c r="P157" i="25" s="1"/>
  <c r="I157" i="25"/>
  <c r="J157" i="25" s="1"/>
  <c r="AA152" i="24"/>
  <c r="B154" i="25" s="1"/>
  <c r="AB152" i="24"/>
  <c r="AC152" i="24"/>
  <c r="D175" i="24"/>
  <c r="E175" i="24" s="1"/>
  <c r="B63" i="33"/>
  <c r="X151" i="24"/>
  <c r="Z158" i="24"/>
  <c r="Y158" i="24"/>
  <c r="K122" i="11"/>
  <c r="K126" i="11" s="1"/>
  <c r="K131" i="11"/>
  <c r="K127" i="11"/>
  <c r="O188" i="32"/>
  <c r="O189" i="32" s="1"/>
  <c r="O46" i="32"/>
  <c r="J30" i="30"/>
  <c r="AG175" i="24"/>
  <c r="P183" i="24"/>
  <c r="G143" i="33"/>
  <c r="G144" i="33" s="1"/>
  <c r="I133" i="33"/>
  <c r="Q191" i="32"/>
  <c r="R191" i="32" s="1"/>
  <c r="Q192" i="32"/>
  <c r="R192" i="32" s="1"/>
  <c r="Q148" i="32"/>
  <c r="R180" i="32"/>
  <c r="M159" i="24" s="1"/>
  <c r="N159" i="24" s="1"/>
  <c r="H157" i="24" s="1"/>
  <c r="H151" i="24"/>
  <c r="H91" i="33"/>
  <c r="G101" i="33" s="1"/>
  <c r="F102" i="33"/>
  <c r="B156" i="25"/>
  <c r="AA31" i="25"/>
  <c r="AA100" i="25"/>
  <c r="AA77" i="25"/>
  <c r="G40" i="11"/>
  <c r="G74" i="11" s="1"/>
  <c r="G91" i="11" s="1"/>
  <c r="G157" i="25" l="1"/>
  <c r="D157" i="25"/>
  <c r="L54" i="11"/>
  <c r="Q118" i="7"/>
  <c r="R148" i="32"/>
  <c r="G157" i="24" s="1"/>
  <c r="R147" i="32"/>
  <c r="J133" i="33"/>
  <c r="H143" i="33"/>
  <c r="H144" i="33" s="1"/>
  <c r="B174" i="24"/>
  <c r="AG174" i="24" s="1"/>
  <c r="F63" i="33"/>
  <c r="D63" i="33"/>
  <c r="E63" i="33"/>
  <c r="F174" i="24" s="1"/>
  <c r="C63" i="33"/>
  <c r="C174" i="24" s="1"/>
  <c r="F154" i="25"/>
  <c r="R154" i="25"/>
  <c r="X154" i="25"/>
  <c r="Y154" i="25" s="1"/>
  <c r="O154" i="25"/>
  <c r="P154" i="25" s="1"/>
  <c r="I154" i="25"/>
  <c r="J154" i="25" s="1"/>
  <c r="L154" i="25"/>
  <c r="M154" i="25" s="1"/>
  <c r="U154" i="25"/>
  <c r="V154" i="25" s="1"/>
  <c r="N158" i="24"/>
  <c r="AC158" i="24" s="1"/>
  <c r="M160" i="24"/>
  <c r="AD151" i="24"/>
  <c r="AA151" i="24" s="1"/>
  <c r="R74" i="32"/>
  <c r="Q186" i="32"/>
  <c r="R185" i="32"/>
  <c r="D181" i="24"/>
  <c r="Y151" i="24"/>
  <c r="AA157" i="25"/>
  <c r="I77" i="33"/>
  <c r="J77" i="33" s="1"/>
  <c r="P45" i="32"/>
  <c r="R35" i="32"/>
  <c r="Q190" i="32"/>
  <c r="I7" i="12"/>
  <c r="M8" i="9"/>
  <c r="I75" i="30"/>
  <c r="R106" i="32"/>
  <c r="G156" i="24" s="1"/>
  <c r="R105" i="32"/>
  <c r="Q172" i="32"/>
  <c r="R171" i="32"/>
  <c r="Z159" i="24"/>
  <c r="Y159" i="24"/>
  <c r="G102" i="33"/>
  <c r="L156" i="25"/>
  <c r="R156" i="25"/>
  <c r="F156" i="25"/>
  <c r="O156" i="25"/>
  <c r="U156" i="25"/>
  <c r="X156" i="25"/>
  <c r="I156" i="25"/>
  <c r="I91" i="33"/>
  <c r="J91" i="33" s="1"/>
  <c r="E19" i="30"/>
  <c r="H31" i="41" s="1"/>
  <c r="H5" i="41"/>
  <c r="H3" i="41" s="1"/>
  <c r="G19" i="30"/>
  <c r="J31" i="41" s="1"/>
  <c r="J5" i="41"/>
  <c r="J3" i="41" s="1"/>
  <c r="H19" i="30"/>
  <c r="K31" i="41" s="1"/>
  <c r="K5" i="41"/>
  <c r="K3" i="41" s="1"/>
  <c r="H40" i="11"/>
  <c r="H74" i="11" s="1"/>
  <c r="H91" i="11" s="1"/>
  <c r="H125" i="11" s="1"/>
  <c r="G20" i="7"/>
  <c r="F20" i="7"/>
  <c r="D156" i="25" l="1"/>
  <c r="G154" i="25"/>
  <c r="D154" i="25"/>
  <c r="M6" i="11"/>
  <c r="K12" i="30"/>
  <c r="G67" i="30"/>
  <c r="G160" i="24"/>
  <c r="H87" i="33"/>
  <c r="H88" i="33" s="1"/>
  <c r="D182" i="24"/>
  <c r="AC159" i="24"/>
  <c r="R172" i="32"/>
  <c r="AD158" i="24"/>
  <c r="X156" i="24"/>
  <c r="Y156" i="24" s="1"/>
  <c r="Q115" i="32"/>
  <c r="B105" i="33"/>
  <c r="Q45" i="32"/>
  <c r="R45" i="32" s="1"/>
  <c r="R190" i="32"/>
  <c r="B35" i="33"/>
  <c r="X148" i="24"/>
  <c r="D174" i="24"/>
  <c r="E174" i="24" s="1"/>
  <c r="AC151" i="24"/>
  <c r="AB151" i="24" s="1"/>
  <c r="B153" i="25"/>
  <c r="H156" i="24"/>
  <c r="H160" i="24" s="1"/>
  <c r="N160" i="24"/>
  <c r="I143" i="33"/>
  <c r="I144" i="33" s="1"/>
  <c r="K133" i="33"/>
  <c r="L13" i="15"/>
  <c r="M9" i="9"/>
  <c r="L12" i="15" s="1"/>
  <c r="P46" i="32"/>
  <c r="P188" i="32"/>
  <c r="P189" i="32" s="1"/>
  <c r="I87" i="33"/>
  <c r="I88" i="33" s="1"/>
  <c r="K77" i="33"/>
  <c r="L77" i="33" s="1"/>
  <c r="Z151" i="24"/>
  <c r="AD159" i="24"/>
  <c r="AA159" i="24" s="1"/>
  <c r="B161" i="25" s="1"/>
  <c r="R186" i="32"/>
  <c r="AA154" i="25"/>
  <c r="G63" i="33"/>
  <c r="F73" i="33" s="1"/>
  <c r="F74" i="33" s="1"/>
  <c r="X157" i="24"/>
  <c r="Q157" i="32"/>
  <c r="B147" i="33"/>
  <c r="H101" i="33"/>
  <c r="H102" i="33" s="1"/>
  <c r="Y156" i="25"/>
  <c r="P156" i="25"/>
  <c r="I101" i="33"/>
  <c r="I102" i="33" s="1"/>
  <c r="K91" i="33"/>
  <c r="J101" i="33" s="1"/>
  <c r="J102" i="33" s="1"/>
  <c r="J156" i="25"/>
  <c r="V156" i="25"/>
  <c r="G156" i="25"/>
  <c r="M156" i="25"/>
  <c r="E74" i="30"/>
  <c r="E67" i="30"/>
  <c r="H74" i="30"/>
  <c r="H33" i="30"/>
  <c r="G74" i="30"/>
  <c r="H67" i="30"/>
  <c r="G33" i="30"/>
  <c r="I40" i="11"/>
  <c r="I74" i="11" s="1"/>
  <c r="I91" i="11" s="1"/>
  <c r="I125" i="11" s="1"/>
  <c r="I133" i="11" s="1"/>
  <c r="H129" i="11"/>
  <c r="H133" i="11"/>
  <c r="J40" i="11"/>
  <c r="J74" i="11" s="1"/>
  <c r="J91" i="11" s="1"/>
  <c r="J125" i="11" s="1"/>
  <c r="J133" i="11" s="1"/>
  <c r="G39" i="11"/>
  <c r="G14" i="7"/>
  <c r="F14" i="7"/>
  <c r="J87" i="33" l="1"/>
  <c r="J88" i="33" s="1"/>
  <c r="L11" i="15"/>
  <c r="E147" i="33"/>
  <c r="F180" i="24" s="1"/>
  <c r="B180" i="24"/>
  <c r="C147" i="33"/>
  <c r="C180" i="24" s="1"/>
  <c r="F147" i="33"/>
  <c r="G147" i="33" s="1"/>
  <c r="D147" i="33"/>
  <c r="Y157" i="24"/>
  <c r="Z157" i="24" s="1"/>
  <c r="K87" i="33"/>
  <c r="K88" i="33" s="1"/>
  <c r="M77" i="33"/>
  <c r="R46" i="32"/>
  <c r="AD148" i="24"/>
  <c r="J143" i="33"/>
  <c r="J144" i="33" s="1"/>
  <c r="L133" i="33"/>
  <c r="F153" i="25"/>
  <c r="U153" i="25"/>
  <c r="L153" i="25"/>
  <c r="O153" i="25"/>
  <c r="I153" i="25"/>
  <c r="R153" i="25"/>
  <c r="X153" i="25"/>
  <c r="F35" i="33"/>
  <c r="G35" i="33" s="1"/>
  <c r="E35" i="33"/>
  <c r="F171" i="24" s="1"/>
  <c r="D35" i="33"/>
  <c r="C35" i="33"/>
  <c r="B171" i="24"/>
  <c r="H176" i="33"/>
  <c r="H162" i="33"/>
  <c r="Q188" i="32"/>
  <c r="Q189" i="32" s="1"/>
  <c r="Q46" i="32"/>
  <c r="R115" i="32"/>
  <c r="Q116" i="32"/>
  <c r="AA158" i="24"/>
  <c r="B160" i="25" s="1"/>
  <c r="AB158" i="24"/>
  <c r="AB159" i="24"/>
  <c r="Q158" i="32"/>
  <c r="R157" i="32"/>
  <c r="H63" i="33"/>
  <c r="G73" i="33" s="1"/>
  <c r="G74" i="33" s="1"/>
  <c r="I161" i="25"/>
  <c r="J161" i="25" s="1"/>
  <c r="L161" i="25"/>
  <c r="M161" i="25" s="1"/>
  <c r="X161" i="25"/>
  <c r="Y161" i="25" s="1"/>
  <c r="F161" i="25"/>
  <c r="U161" i="25"/>
  <c r="V161" i="25" s="1"/>
  <c r="O161" i="25"/>
  <c r="P161" i="25" s="1"/>
  <c r="R161" i="25"/>
  <c r="X160" i="24"/>
  <c r="Y148" i="24"/>
  <c r="Z148" i="24" s="1"/>
  <c r="B179" i="24"/>
  <c r="AG179" i="24" s="1"/>
  <c r="F105" i="33"/>
  <c r="E105" i="33"/>
  <c r="F179" i="24" s="1"/>
  <c r="C105" i="33"/>
  <c r="C179" i="24" s="1"/>
  <c r="D105" i="33"/>
  <c r="Z156" i="24"/>
  <c r="AC156" i="24"/>
  <c r="D179" i="24"/>
  <c r="L91" i="33"/>
  <c r="K101" i="33" s="1"/>
  <c r="K102" i="33" s="1"/>
  <c r="AA156" i="25"/>
  <c r="M22" i="11"/>
  <c r="M56" i="11" s="1"/>
  <c r="I129" i="11"/>
  <c r="G117" i="7"/>
  <c r="J129" i="11"/>
  <c r="F117" i="7"/>
  <c r="H39" i="11"/>
  <c r="H73" i="11" s="1"/>
  <c r="H90" i="11" s="1"/>
  <c r="H124" i="11" s="1"/>
  <c r="H132" i="11" s="1"/>
  <c r="G37" i="11"/>
  <c r="E75" i="30"/>
  <c r="D153" i="25" l="1"/>
  <c r="G161" i="25"/>
  <c r="D161" i="25"/>
  <c r="I9" i="12"/>
  <c r="I10" i="12" s="1"/>
  <c r="I6" i="14" s="1"/>
  <c r="I35" i="30"/>
  <c r="M10" i="9"/>
  <c r="M11" i="9" s="1"/>
  <c r="M13" i="9" s="1"/>
  <c r="I12" i="12" s="1"/>
  <c r="I14" i="14"/>
  <c r="E179" i="24"/>
  <c r="H68" i="33"/>
  <c r="R162" i="33"/>
  <c r="G181" i="24" s="1"/>
  <c r="I161" i="33"/>
  <c r="AG171" i="24"/>
  <c r="B183" i="24"/>
  <c r="F45" i="33"/>
  <c r="F46" i="33" s="1"/>
  <c r="H35" i="33"/>
  <c r="Y153" i="25"/>
  <c r="J153" i="25"/>
  <c r="M153" i="25"/>
  <c r="G153" i="25"/>
  <c r="AA148" i="24"/>
  <c r="L87" i="33"/>
  <c r="L88" i="33" s="1"/>
  <c r="N77" i="33"/>
  <c r="G105" i="33"/>
  <c r="F115" i="33" s="1"/>
  <c r="F116" i="33" s="1"/>
  <c r="AC148" i="24"/>
  <c r="AB148" i="24" s="1"/>
  <c r="D171" i="24"/>
  <c r="Y160" i="24"/>
  <c r="AC160" i="24" s="1"/>
  <c r="AA161" i="25"/>
  <c r="AD157" i="24"/>
  <c r="R158" i="32"/>
  <c r="I160" i="25"/>
  <c r="J160" i="25" s="1"/>
  <c r="F160" i="25"/>
  <c r="U160" i="25"/>
  <c r="V160" i="25" s="1"/>
  <c r="L160" i="25"/>
  <c r="M160" i="25" s="1"/>
  <c r="X160" i="25"/>
  <c r="Y160" i="25" s="1"/>
  <c r="R160" i="25"/>
  <c r="O160" i="25"/>
  <c r="P160" i="25" s="1"/>
  <c r="R116" i="32"/>
  <c r="AD156" i="24"/>
  <c r="AA156" i="24" s="1"/>
  <c r="H191" i="33"/>
  <c r="I175" i="33"/>
  <c r="H192" i="33"/>
  <c r="R176" i="33"/>
  <c r="G182" i="24" s="1"/>
  <c r="H182" i="24" s="1"/>
  <c r="C190" i="33"/>
  <c r="C171" i="24"/>
  <c r="C183" i="24" s="1"/>
  <c r="P153" i="25"/>
  <c r="V153" i="25"/>
  <c r="K143" i="33"/>
  <c r="K144" i="33" s="1"/>
  <c r="M133" i="33"/>
  <c r="N133" i="33" s="1"/>
  <c r="M143" i="33" s="1"/>
  <c r="M144" i="33" s="1"/>
  <c r="R188" i="32"/>
  <c r="R189" i="32" s="1"/>
  <c r="D180" i="24"/>
  <c r="AC157" i="24"/>
  <c r="F157" i="33"/>
  <c r="F158" i="33" s="1"/>
  <c r="H147" i="33"/>
  <c r="E180" i="24"/>
  <c r="AG180" i="24"/>
  <c r="AH173" i="24" s="1"/>
  <c r="M91" i="33"/>
  <c r="N91" i="33" s="1"/>
  <c r="O133" i="33"/>
  <c r="N143" i="33" s="1"/>
  <c r="N144" i="33" s="1"/>
  <c r="J39" i="11"/>
  <c r="J73" i="11" s="1"/>
  <c r="J90" i="11" s="1"/>
  <c r="J124" i="11" s="1"/>
  <c r="J132" i="11" s="1"/>
  <c r="H37" i="11"/>
  <c r="H71" i="11" s="1"/>
  <c r="H88" i="11" s="1"/>
  <c r="E7" i="12"/>
  <c r="I8" i="9"/>
  <c r="H128" i="11"/>
  <c r="H122" i="11"/>
  <c r="H126" i="11" s="1"/>
  <c r="I39" i="11"/>
  <c r="I73" i="11" s="1"/>
  <c r="I90" i="11" s="1"/>
  <c r="I124" i="11" s="1"/>
  <c r="I132" i="11" s="1"/>
  <c r="G160" i="25" l="1"/>
  <c r="D160" i="25"/>
  <c r="M16" i="9"/>
  <c r="Z160" i="24"/>
  <c r="L143" i="33"/>
  <c r="L144" i="33" s="1"/>
  <c r="J175" i="33"/>
  <c r="I185" i="33" s="1"/>
  <c r="I186" i="33" s="1"/>
  <c r="H185" i="33"/>
  <c r="H186" i="33" s="1"/>
  <c r="B158" i="25"/>
  <c r="AA157" i="24"/>
  <c r="B159" i="25" s="1"/>
  <c r="AB157" i="24"/>
  <c r="H105" i="33"/>
  <c r="G115" i="33" s="1"/>
  <c r="G116" i="33" s="1"/>
  <c r="B149" i="25"/>
  <c r="AA153" i="25"/>
  <c r="H171" i="33"/>
  <c r="H172" i="33" s="1"/>
  <c r="J161" i="33"/>
  <c r="I171" i="33" s="1"/>
  <c r="I172" i="33" s="1"/>
  <c r="M14" i="9"/>
  <c r="M15" i="9" s="1"/>
  <c r="AB156" i="24"/>
  <c r="G157" i="33"/>
  <c r="G158" i="33" s="1"/>
  <c r="I147" i="33"/>
  <c r="J147" i="33" s="1"/>
  <c r="AA160" i="25"/>
  <c r="D183" i="24"/>
  <c r="E183" i="24" s="1"/>
  <c r="M87" i="33"/>
  <c r="M88" i="33" s="1"/>
  <c r="O77" i="33"/>
  <c r="N87" i="33" s="1"/>
  <c r="N88" i="33" s="1"/>
  <c r="AD160" i="24"/>
  <c r="G45" i="33"/>
  <c r="G46" i="33" s="1"/>
  <c r="E171" i="24"/>
  <c r="AH169" i="24"/>
  <c r="AG183" i="24"/>
  <c r="H181" i="24"/>
  <c r="I63" i="33"/>
  <c r="R68" i="33"/>
  <c r="M174" i="24" s="1"/>
  <c r="N174" i="24" s="1"/>
  <c r="H171" i="24" s="1"/>
  <c r="H36" i="33"/>
  <c r="R36" i="33" s="1"/>
  <c r="G171" i="24" s="1"/>
  <c r="M101" i="33"/>
  <c r="M102" i="33" s="1"/>
  <c r="O91" i="33"/>
  <c r="N101" i="33" s="1"/>
  <c r="N102" i="33" s="1"/>
  <c r="L101" i="33"/>
  <c r="L102" i="33" s="1"/>
  <c r="P133" i="33"/>
  <c r="I128" i="11"/>
  <c r="I122" i="11"/>
  <c r="I126" i="11" s="1"/>
  <c r="H75" i="30"/>
  <c r="J37" i="11"/>
  <c r="J71" i="11" s="1"/>
  <c r="J88" i="11" s="1"/>
  <c r="G75" i="30"/>
  <c r="I37" i="11"/>
  <c r="I71" i="11" s="1"/>
  <c r="I88" i="11" s="1"/>
  <c r="F7" i="12"/>
  <c r="J8" i="9"/>
  <c r="J122" i="11"/>
  <c r="J126" i="11" s="1"/>
  <c r="J128" i="11"/>
  <c r="AA160" i="24" l="1"/>
  <c r="H157" i="33"/>
  <c r="H158" i="33" s="1"/>
  <c r="I35" i="33"/>
  <c r="J63" i="33"/>
  <c r="H73" i="33"/>
  <c r="H74" i="33" s="1"/>
  <c r="I157" i="33"/>
  <c r="I158" i="33" s="1"/>
  <c r="K147" i="33"/>
  <c r="L147" i="33" s="1"/>
  <c r="J31" i="5"/>
  <c r="L20" i="5"/>
  <c r="I105" i="33"/>
  <c r="H115" i="33" s="1"/>
  <c r="H116" i="33" s="1"/>
  <c r="K175" i="33"/>
  <c r="L175" i="33" s="1"/>
  <c r="H45" i="33"/>
  <c r="H46" i="33" s="1"/>
  <c r="J35" i="33"/>
  <c r="I45" i="33" s="1"/>
  <c r="I46" i="33" s="1"/>
  <c r="P77" i="33"/>
  <c r="O87" i="33" s="1"/>
  <c r="O88" i="33" s="1"/>
  <c r="K161" i="33"/>
  <c r="L161" i="33" s="1"/>
  <c r="U149" i="25"/>
  <c r="X149" i="25"/>
  <c r="B147" i="25"/>
  <c r="L149" i="25"/>
  <c r="I149" i="25"/>
  <c r="R149" i="25"/>
  <c r="R147" i="25" s="1"/>
  <c r="O149" i="25"/>
  <c r="F149" i="25"/>
  <c r="X159" i="25"/>
  <c r="Y159" i="25" s="1"/>
  <c r="U159" i="25"/>
  <c r="V159" i="25" s="1"/>
  <c r="O159" i="25"/>
  <c r="P159" i="25" s="1"/>
  <c r="R159" i="25"/>
  <c r="F159" i="25"/>
  <c r="L159" i="25"/>
  <c r="M159" i="25" s="1"/>
  <c r="I159" i="25"/>
  <c r="J159" i="25" s="1"/>
  <c r="O158" i="25"/>
  <c r="I158" i="25"/>
  <c r="F158" i="25"/>
  <c r="L158" i="25"/>
  <c r="U158" i="25"/>
  <c r="R158" i="25"/>
  <c r="X158" i="25"/>
  <c r="B150" i="25"/>
  <c r="Q133" i="33"/>
  <c r="P143" i="33" s="1"/>
  <c r="P144" i="33" s="1"/>
  <c r="O143" i="33"/>
  <c r="O144" i="33" s="1"/>
  <c r="P91" i="33"/>
  <c r="O101" i="33" s="1"/>
  <c r="O102" i="33" s="1"/>
  <c r="I13" i="15"/>
  <c r="I14" i="15"/>
  <c r="J9" i="9"/>
  <c r="I12" i="15" s="1"/>
  <c r="K8" i="9"/>
  <c r="G7" i="12"/>
  <c r="H7" i="12"/>
  <c r="L8" i="9"/>
  <c r="D158" i="25" l="1"/>
  <c r="D149" i="25"/>
  <c r="D147" i="25" s="1"/>
  <c r="G159" i="25"/>
  <c r="D159" i="25"/>
  <c r="D150" i="25" s="1"/>
  <c r="I36" i="30"/>
  <c r="I40" i="30" s="1"/>
  <c r="J157" i="33"/>
  <c r="J158" i="33" s="1"/>
  <c r="J171" i="33"/>
  <c r="J172" i="33" s="1"/>
  <c r="V158" i="25"/>
  <c r="V150" i="25" s="1"/>
  <c r="U150" i="25"/>
  <c r="G158" i="25"/>
  <c r="F150" i="25"/>
  <c r="P158" i="25"/>
  <c r="P150" i="25" s="1"/>
  <c r="O150" i="25"/>
  <c r="G149" i="25"/>
  <c r="F147" i="25"/>
  <c r="F146" i="25" s="1"/>
  <c r="R150" i="25"/>
  <c r="R146" i="25" s="1"/>
  <c r="M158" i="25"/>
  <c r="M150" i="25" s="1"/>
  <c r="L150" i="25"/>
  <c r="J158" i="25"/>
  <c r="J150" i="25" s="1"/>
  <c r="I150" i="25"/>
  <c r="AA159" i="25"/>
  <c r="O147" i="25"/>
  <c r="P149" i="25"/>
  <c r="P147" i="25" s="1"/>
  <c r="J149" i="25"/>
  <c r="J147" i="25" s="1"/>
  <c r="I147" i="25"/>
  <c r="B146" i="25"/>
  <c r="U147" i="25"/>
  <c r="U146" i="25" s="1"/>
  <c r="V149" i="25"/>
  <c r="V147" i="25" s="1"/>
  <c r="V146" i="25" s="1"/>
  <c r="K171" i="33"/>
  <c r="K172" i="33" s="1"/>
  <c r="M161" i="33"/>
  <c r="L171" i="33" s="1"/>
  <c r="L172" i="33" s="1"/>
  <c r="Q77" i="33"/>
  <c r="Q82" i="33" s="1"/>
  <c r="J185" i="33"/>
  <c r="J186" i="33" s="1"/>
  <c r="J105" i="33"/>
  <c r="K105" i="33" s="1"/>
  <c r="J17" i="14"/>
  <c r="K157" i="33"/>
  <c r="K158" i="33" s="1"/>
  <c r="M147" i="33"/>
  <c r="N147" i="33" s="1"/>
  <c r="Y158" i="25"/>
  <c r="Y150" i="25" s="1"/>
  <c r="X150" i="25"/>
  <c r="L147" i="25"/>
  <c r="M149" i="25"/>
  <c r="M147" i="25" s="1"/>
  <c r="M146" i="25" s="1"/>
  <c r="Y149" i="25"/>
  <c r="Y147" i="25" s="1"/>
  <c r="X147" i="25"/>
  <c r="K35" i="33"/>
  <c r="J45" i="33" s="1"/>
  <c r="J46" i="33" s="1"/>
  <c r="K185" i="33"/>
  <c r="K186" i="33" s="1"/>
  <c r="M175" i="33"/>
  <c r="M20" i="5"/>
  <c r="L31" i="5"/>
  <c r="I73" i="33"/>
  <c r="K63" i="33"/>
  <c r="Q91" i="33"/>
  <c r="Q96" i="33" s="1"/>
  <c r="J13" i="15"/>
  <c r="K9" i="9"/>
  <c r="J12" i="15" s="1"/>
  <c r="J14" i="15"/>
  <c r="K14" i="15"/>
  <c r="K13" i="15"/>
  <c r="L9" i="9"/>
  <c r="K12" i="15" s="1"/>
  <c r="I11" i="15"/>
  <c r="F35" i="30" s="1"/>
  <c r="O146" i="25" l="1"/>
  <c r="J146" i="25"/>
  <c r="X146" i="25"/>
  <c r="I115" i="33"/>
  <c r="I116" i="33" s="1"/>
  <c r="L63" i="33"/>
  <c r="K73" i="33" s="1"/>
  <c r="N175" i="33"/>
  <c r="M185" i="33" s="1"/>
  <c r="M186" i="33" s="1"/>
  <c r="J73" i="33"/>
  <c r="J74" i="33" s="1"/>
  <c r="I74" i="33"/>
  <c r="L185" i="33"/>
  <c r="L186" i="33" s="1"/>
  <c r="L35" i="33"/>
  <c r="K45" i="33" s="1"/>
  <c r="K46" i="33" s="1"/>
  <c r="Y146" i="25"/>
  <c r="L146" i="25"/>
  <c r="L157" i="33"/>
  <c r="L158" i="33" s="1"/>
  <c r="J115" i="33"/>
  <c r="J116" i="33" s="1"/>
  <c r="L105" i="33"/>
  <c r="P87" i="33"/>
  <c r="P88" i="33" s="1"/>
  <c r="N161" i="33"/>
  <c r="M171" i="33" s="1"/>
  <c r="M172" i="33" s="1"/>
  <c r="I146" i="25"/>
  <c r="P146" i="25"/>
  <c r="M31" i="5"/>
  <c r="N20" i="5"/>
  <c r="I16" i="7" s="1"/>
  <c r="Q16" i="7" s="1"/>
  <c r="M157" i="33"/>
  <c r="M158" i="33" s="1"/>
  <c r="O147" i="33"/>
  <c r="P147" i="33" s="1"/>
  <c r="Q64" i="33"/>
  <c r="R64" i="33" s="1"/>
  <c r="G174" i="24" s="1"/>
  <c r="R82" i="33"/>
  <c r="M175" i="24" s="1"/>
  <c r="N175" i="24" s="1"/>
  <c r="H174" i="24" s="1"/>
  <c r="AA149" i="25"/>
  <c r="AA147" i="25" s="1"/>
  <c r="G147" i="25"/>
  <c r="AA158" i="25"/>
  <c r="AA150" i="25" s="1"/>
  <c r="G150" i="25"/>
  <c r="P101" i="33"/>
  <c r="P102" i="33" s="1"/>
  <c r="Q78" i="33"/>
  <c r="R96" i="33"/>
  <c r="M177" i="24" s="1"/>
  <c r="K11" i="15"/>
  <c r="H35" i="30" s="1"/>
  <c r="H79" i="30" s="1"/>
  <c r="J11" i="15"/>
  <c r="G35" i="30" s="1"/>
  <c r="G79" i="30" s="1"/>
  <c r="F9" i="12"/>
  <c r="F10" i="12" s="1"/>
  <c r="F6" i="14" s="1"/>
  <c r="F14" i="14"/>
  <c r="J10" i="9"/>
  <c r="J11" i="9" s="1"/>
  <c r="I17" i="7" l="1"/>
  <c r="Q17" i="7" s="1"/>
  <c r="H9" i="12"/>
  <c r="H10" i="12" s="1"/>
  <c r="H6" i="14" s="1"/>
  <c r="G9" i="12"/>
  <c r="G10" i="12" s="1"/>
  <c r="G6" i="14" s="1"/>
  <c r="J22" i="30"/>
  <c r="K74" i="33"/>
  <c r="G146" i="25"/>
  <c r="AA146" i="25"/>
  <c r="N157" i="33"/>
  <c r="N158" i="33" s="1"/>
  <c r="O161" i="33"/>
  <c r="N171" i="33" s="1"/>
  <c r="N172" i="33" s="1"/>
  <c r="K115" i="33"/>
  <c r="K116" i="33" s="1"/>
  <c r="M105" i="33"/>
  <c r="M35" i="33"/>
  <c r="L45" i="33" s="1"/>
  <c r="L46" i="33" s="1"/>
  <c r="L5" i="11"/>
  <c r="J10" i="30"/>
  <c r="J9" i="30" s="1"/>
  <c r="O157" i="33"/>
  <c r="O158" i="33" s="1"/>
  <c r="Q147" i="33"/>
  <c r="N31" i="5"/>
  <c r="O175" i="33"/>
  <c r="N185" i="33" s="1"/>
  <c r="N186" i="33" s="1"/>
  <c r="M63" i="33"/>
  <c r="L73" i="33" s="1"/>
  <c r="L74" i="33" s="1"/>
  <c r="N177" i="24"/>
  <c r="R78" i="33"/>
  <c r="G175" i="24" s="1"/>
  <c r="R77" i="33"/>
  <c r="G14" i="14"/>
  <c r="K10" i="9"/>
  <c r="K11" i="9" s="1"/>
  <c r="K16" i="9" s="1"/>
  <c r="L10" i="9"/>
  <c r="L11" i="9" s="1"/>
  <c r="H14" i="14"/>
  <c r="J16" i="9"/>
  <c r="J13" i="9"/>
  <c r="I23" i="7" l="1"/>
  <c r="Q23" i="7" s="1"/>
  <c r="Q117" i="7" s="1"/>
  <c r="Q119" i="7" s="1"/>
  <c r="J20" i="30"/>
  <c r="J8" i="30"/>
  <c r="J7" i="30" s="1"/>
  <c r="J19" i="30"/>
  <c r="I14" i="7"/>
  <c r="N63" i="33"/>
  <c r="M73" i="33" s="1"/>
  <c r="P175" i="33"/>
  <c r="O185" i="33" s="1"/>
  <c r="O186" i="33" s="1"/>
  <c r="Q152" i="33"/>
  <c r="P157" i="33"/>
  <c r="P158" i="33" s="1"/>
  <c r="L21" i="11"/>
  <c r="L55" i="11" s="1"/>
  <c r="N35" i="33"/>
  <c r="M45" i="33" s="1"/>
  <c r="M46" i="33" s="1"/>
  <c r="P161" i="33"/>
  <c r="O171" i="33" s="1"/>
  <c r="I6" i="7"/>
  <c r="J34" i="30"/>
  <c r="L41" i="11" s="1"/>
  <c r="L4" i="11"/>
  <c r="J6" i="12"/>
  <c r="N7" i="9"/>
  <c r="L115" i="33"/>
  <c r="L116" i="33" s="1"/>
  <c r="N105" i="33"/>
  <c r="Q87" i="33"/>
  <c r="X175" i="24"/>
  <c r="H175" i="24"/>
  <c r="K13" i="9"/>
  <c r="G12" i="12" s="1"/>
  <c r="L16" i="9"/>
  <c r="L13" i="9"/>
  <c r="F12" i="12"/>
  <c r="J14" i="9"/>
  <c r="J15" i="9" s="1"/>
  <c r="I20" i="7" l="1"/>
  <c r="I117" i="7" s="1"/>
  <c r="L39" i="11"/>
  <c r="L73" i="11" s="1"/>
  <c r="L90" i="11" s="1"/>
  <c r="L124" i="11" s="1"/>
  <c r="L40" i="11"/>
  <c r="L74" i="11" s="1"/>
  <c r="L91" i="11" s="1"/>
  <c r="L125" i="11" s="1"/>
  <c r="L133" i="11" s="1"/>
  <c r="J33" i="30"/>
  <c r="J67" i="30"/>
  <c r="J74" i="30"/>
  <c r="M74" i="33"/>
  <c r="O172" i="33"/>
  <c r="O105" i="33"/>
  <c r="N115" i="33" s="1"/>
  <c r="N116" i="33" s="1"/>
  <c r="M115" i="33"/>
  <c r="M116" i="33" s="1"/>
  <c r="Q161" i="33"/>
  <c r="O35" i="33"/>
  <c r="R152" i="33"/>
  <c r="M180" i="24" s="1"/>
  <c r="N180" i="24" s="1"/>
  <c r="H178" i="24" s="1"/>
  <c r="Q134" i="33"/>
  <c r="Q175" i="33"/>
  <c r="O63" i="33"/>
  <c r="Y175" i="24"/>
  <c r="AC175" i="24" s="1"/>
  <c r="Q88" i="33"/>
  <c r="R87" i="33"/>
  <c r="K14" i="9"/>
  <c r="K15" i="9" s="1"/>
  <c r="H12" i="12"/>
  <c r="L14" i="9"/>
  <c r="L15" i="9" s="1"/>
  <c r="AA22" i="25"/>
  <c r="AA12" i="25" s="1"/>
  <c r="V12" i="25"/>
  <c r="L129" i="11" l="1"/>
  <c r="L128" i="11"/>
  <c r="L132" i="11"/>
  <c r="P63" i="33"/>
  <c r="O73" i="33" s="1"/>
  <c r="O74" i="33" s="1"/>
  <c r="Q180" i="33"/>
  <c r="R175" i="33" s="1"/>
  <c r="P35" i="33"/>
  <c r="Q166" i="33"/>
  <c r="R161" i="33" s="1"/>
  <c r="X181" i="24" s="1"/>
  <c r="N73" i="33"/>
  <c r="P185" i="33"/>
  <c r="R133" i="33"/>
  <c r="R134" i="33"/>
  <c r="G178" i="24" s="1"/>
  <c r="N45" i="33"/>
  <c r="P171" i="33"/>
  <c r="L38" i="11"/>
  <c r="L72" i="11" s="1"/>
  <c r="L89" i="11" s="1"/>
  <c r="L123" i="11" s="1"/>
  <c r="P105" i="33"/>
  <c r="O115" i="33" s="1"/>
  <c r="O116" i="33" s="1"/>
  <c r="R88" i="33"/>
  <c r="AD175" i="24"/>
  <c r="AA175" i="24" s="1"/>
  <c r="Z175" i="24"/>
  <c r="AA8" i="25"/>
  <c r="V8" i="25"/>
  <c r="X182" i="24" l="1"/>
  <c r="Q185" i="33"/>
  <c r="Q186" i="33" s="1"/>
  <c r="P172" i="33"/>
  <c r="Z181" i="24"/>
  <c r="Y181" i="24"/>
  <c r="Q105" i="33"/>
  <c r="P115" i="33" s="1"/>
  <c r="P116" i="33" s="1"/>
  <c r="L37" i="11"/>
  <c r="L71" i="11" s="1"/>
  <c r="L88" i="11" s="1"/>
  <c r="N46" i="33"/>
  <c r="Q143" i="33"/>
  <c r="X178" i="24"/>
  <c r="Y178" i="24" s="1"/>
  <c r="AC178" i="24" s="1"/>
  <c r="N74" i="33"/>
  <c r="Q171" i="33"/>
  <c r="Q172" i="33" s="1"/>
  <c r="R166" i="33"/>
  <c r="M181" i="24" s="1"/>
  <c r="N181" i="24" s="1"/>
  <c r="H179" i="24" s="1"/>
  <c r="Q106" i="33"/>
  <c r="R106" i="33" s="1"/>
  <c r="G179" i="24" s="1"/>
  <c r="O45" i="33"/>
  <c r="O46" i="33" s="1"/>
  <c r="Q35" i="33"/>
  <c r="P45" i="33" s="1"/>
  <c r="P46" i="33" s="1"/>
  <c r="L131" i="11"/>
  <c r="L122" i="11"/>
  <c r="L126" i="11" s="1"/>
  <c r="L127" i="11"/>
  <c r="P186" i="33"/>
  <c r="R185" i="33"/>
  <c r="K30" i="30"/>
  <c r="Q191" i="33"/>
  <c r="R191" i="33" s="1"/>
  <c r="Q148" i="33"/>
  <c r="R180" i="33"/>
  <c r="M182" i="24" s="1"/>
  <c r="N182" i="24" s="1"/>
  <c r="H180" i="24" s="1"/>
  <c r="Q192" i="33"/>
  <c r="R192" i="33" s="1"/>
  <c r="Q63" i="33"/>
  <c r="P73" i="33" s="1"/>
  <c r="P74" i="33" s="1"/>
  <c r="B177" i="25"/>
  <c r="AB175" i="24"/>
  <c r="Z178" i="24"/>
  <c r="L30" i="30" l="1"/>
  <c r="M54" i="11"/>
  <c r="R118" i="7"/>
  <c r="R119" i="7" s="1"/>
  <c r="R147" i="33"/>
  <c r="R148" i="33"/>
  <c r="G180" i="24" s="1"/>
  <c r="AD182" i="24"/>
  <c r="R186" i="33"/>
  <c r="R35" i="33"/>
  <c r="X171" i="24" s="1"/>
  <c r="R143" i="33"/>
  <c r="Q144" i="33"/>
  <c r="Q110" i="33"/>
  <c r="R105" i="33" s="1"/>
  <c r="R171" i="33"/>
  <c r="R63" i="33"/>
  <c r="X174" i="24" s="1"/>
  <c r="N8" i="9"/>
  <c r="J7" i="12"/>
  <c r="J75" i="30"/>
  <c r="AC181" i="24"/>
  <c r="Y182" i="24"/>
  <c r="AC182" i="24" s="1"/>
  <c r="Z182" i="24"/>
  <c r="X177" i="25"/>
  <c r="F177" i="25"/>
  <c r="R177" i="25"/>
  <c r="I177" i="25"/>
  <c r="U177" i="25"/>
  <c r="L177" i="25"/>
  <c r="O177" i="25"/>
  <c r="D177" i="25" l="1"/>
  <c r="X179" i="24"/>
  <c r="Q115" i="33"/>
  <c r="M13" i="15"/>
  <c r="N9" i="9"/>
  <c r="M12" i="15" s="1"/>
  <c r="Q73" i="33"/>
  <c r="AD181" i="24"/>
  <c r="R172" i="33"/>
  <c r="Q45" i="33"/>
  <c r="Y174" i="24"/>
  <c r="AC174" i="24" s="1"/>
  <c r="Q92" i="33"/>
  <c r="R110" i="33"/>
  <c r="M179" i="24" s="1"/>
  <c r="AD178" i="24"/>
  <c r="R144" i="33"/>
  <c r="Y171" i="24"/>
  <c r="Z171" i="24" s="1"/>
  <c r="AA182" i="24"/>
  <c r="B184" i="25" s="1"/>
  <c r="AB182" i="24"/>
  <c r="Q157" i="33"/>
  <c r="X180" i="24"/>
  <c r="M177" i="25"/>
  <c r="J177" i="25"/>
  <c r="G177" i="25"/>
  <c r="P177" i="25"/>
  <c r="V177" i="25"/>
  <c r="Y177" i="25"/>
  <c r="F39" i="11"/>
  <c r="E39" i="11"/>
  <c r="E73" i="11" s="1"/>
  <c r="E90" i="11" s="1"/>
  <c r="Z174" i="24" l="1"/>
  <c r="M11" i="15"/>
  <c r="Q158" i="33"/>
  <c r="R157" i="33"/>
  <c r="U184" i="25"/>
  <c r="V184" i="25" s="1"/>
  <c r="R184" i="25"/>
  <c r="X184" i="25"/>
  <c r="Y184" i="25" s="1"/>
  <c r="O184" i="25"/>
  <c r="P184" i="25" s="1"/>
  <c r="I184" i="25"/>
  <c r="J184" i="25" s="1"/>
  <c r="F184" i="25"/>
  <c r="L184" i="25"/>
  <c r="M184" i="25" s="1"/>
  <c r="AA178" i="24"/>
  <c r="B180" i="25" s="1"/>
  <c r="AB178" i="24"/>
  <c r="R92" i="33"/>
  <c r="G177" i="24" s="1"/>
  <c r="G183" i="24" s="1"/>
  <c r="R91" i="33"/>
  <c r="Q74" i="33"/>
  <c r="R73" i="33"/>
  <c r="Q116" i="33"/>
  <c r="R115" i="33"/>
  <c r="Y180" i="24"/>
  <c r="AC180" i="24" s="1"/>
  <c r="AC171" i="24"/>
  <c r="N179" i="24"/>
  <c r="M183" i="24"/>
  <c r="Q46" i="33"/>
  <c r="R45" i="33"/>
  <c r="AA181" i="24"/>
  <c r="B183" i="25" s="1"/>
  <c r="AB181" i="24"/>
  <c r="Y179" i="24"/>
  <c r="AC179" i="24" s="1"/>
  <c r="AA177" i="25"/>
  <c r="G184" i="25" l="1"/>
  <c r="D184" i="25"/>
  <c r="N10" i="9"/>
  <c r="N11" i="9" s="1"/>
  <c r="N13" i="9" s="1"/>
  <c r="J12" i="12" s="1"/>
  <c r="J35" i="30"/>
  <c r="J36" i="30" s="1"/>
  <c r="J40" i="30" s="1"/>
  <c r="J14" i="14"/>
  <c r="J9" i="12"/>
  <c r="J10" i="12" s="1"/>
  <c r="J6" i="14" s="1"/>
  <c r="Z179" i="24"/>
  <c r="Z180" i="24"/>
  <c r="X183" i="25"/>
  <c r="Y183" i="25" s="1"/>
  <c r="O183" i="25"/>
  <c r="P183" i="25" s="1"/>
  <c r="F183" i="25"/>
  <c r="U183" i="25"/>
  <c r="V183" i="25" s="1"/>
  <c r="L183" i="25"/>
  <c r="M183" i="25" s="1"/>
  <c r="R183" i="25"/>
  <c r="I183" i="25"/>
  <c r="J183" i="25" s="1"/>
  <c r="H177" i="24"/>
  <c r="H183" i="24" s="1"/>
  <c r="N183" i="24"/>
  <c r="O180" i="25"/>
  <c r="P180" i="25" s="1"/>
  <c r="X180" i="25"/>
  <c r="Y180" i="25" s="1"/>
  <c r="R180" i="25"/>
  <c r="U180" i="25"/>
  <c r="V180" i="25" s="1"/>
  <c r="I180" i="25"/>
  <c r="J180" i="25" s="1"/>
  <c r="L180" i="25"/>
  <c r="M180" i="25" s="1"/>
  <c r="F180" i="25"/>
  <c r="R158" i="33"/>
  <c r="AD180" i="24"/>
  <c r="R46" i="33"/>
  <c r="AD171" i="24"/>
  <c r="AD179" i="24"/>
  <c r="R116" i="33"/>
  <c r="AD174" i="24"/>
  <c r="R74" i="33"/>
  <c r="Q101" i="33"/>
  <c r="X177" i="24"/>
  <c r="AA184" i="25"/>
  <c r="C122" i="11"/>
  <c r="C126" i="11" s="1"/>
  <c r="G180" i="25" l="1"/>
  <c r="D180" i="25"/>
  <c r="G183" i="25"/>
  <c r="AA183" i="25" s="1"/>
  <c r="D183" i="25"/>
  <c r="N16" i="9"/>
  <c r="Z177" i="24"/>
  <c r="Y177" i="24"/>
  <c r="R101" i="33"/>
  <c r="Q102" i="33"/>
  <c r="AA174" i="24"/>
  <c r="AB174" i="24"/>
  <c r="AA179" i="24"/>
  <c r="B181" i="25" s="1"/>
  <c r="AB179" i="24"/>
  <c r="N14" i="9"/>
  <c r="N15" i="9" s="1"/>
  <c r="AA180" i="24"/>
  <c r="B182" i="25" s="1"/>
  <c r="AB180" i="24"/>
  <c r="AA180" i="25"/>
  <c r="AA171" i="24"/>
  <c r="AB171" i="24"/>
  <c r="X181" i="25" l="1"/>
  <c r="Y181" i="25" s="1"/>
  <c r="I181" i="25"/>
  <c r="J181" i="25" s="1"/>
  <c r="F181" i="25"/>
  <c r="O181" i="25"/>
  <c r="P181" i="25" s="1"/>
  <c r="L181" i="25"/>
  <c r="M181" i="25" s="1"/>
  <c r="U181" i="25"/>
  <c r="V181" i="25" s="1"/>
  <c r="R181" i="25"/>
  <c r="B176" i="25"/>
  <c r="AD177" i="24"/>
  <c r="R102" i="33"/>
  <c r="AC177" i="24"/>
  <c r="B172" i="25"/>
  <c r="L182" i="25"/>
  <c r="M182" i="25" s="1"/>
  <c r="U182" i="25"/>
  <c r="V182" i="25" s="1"/>
  <c r="F182" i="25"/>
  <c r="X182" i="25"/>
  <c r="Y182" i="25" s="1"/>
  <c r="I182" i="25"/>
  <c r="J182" i="25" s="1"/>
  <c r="R182" i="25"/>
  <c r="O182" i="25"/>
  <c r="P182" i="25" s="1"/>
  <c r="G182" i="25" l="1"/>
  <c r="D182" i="25"/>
  <c r="G181" i="25"/>
  <c r="D181" i="25"/>
  <c r="L172" i="25"/>
  <c r="O172" i="25"/>
  <c r="I172" i="25"/>
  <c r="X172" i="25"/>
  <c r="F172" i="25"/>
  <c r="R172" i="25"/>
  <c r="U172" i="25"/>
  <c r="AA177" i="24"/>
  <c r="AB177" i="24"/>
  <c r="U176" i="25"/>
  <c r="O176" i="25"/>
  <c r="X176" i="25"/>
  <c r="R176" i="25"/>
  <c r="I176" i="25"/>
  <c r="L176" i="25"/>
  <c r="F176" i="25"/>
  <c r="AA182" i="25"/>
  <c r="P31" i="5"/>
  <c r="R20" i="5"/>
  <c r="AA181" i="25"/>
  <c r="D176" i="25" l="1"/>
  <c r="D172" i="25"/>
  <c r="I20" i="41"/>
  <c r="K17" i="14"/>
  <c r="P176" i="25"/>
  <c r="B179" i="25"/>
  <c r="Y172" i="25"/>
  <c r="P172" i="25"/>
  <c r="S20" i="5"/>
  <c r="R31" i="5"/>
  <c r="G176" i="25"/>
  <c r="J176" i="25"/>
  <c r="Y176" i="25"/>
  <c r="V176" i="25"/>
  <c r="V172" i="25"/>
  <c r="G172" i="25"/>
  <c r="I170" i="25"/>
  <c r="J172" i="25"/>
  <c r="J170" i="25" s="1"/>
  <c r="M172" i="25"/>
  <c r="M176" i="25"/>
  <c r="J20" i="41" l="1"/>
  <c r="J29" i="41" s="1"/>
  <c r="G36" i="30"/>
  <c r="M5" i="11"/>
  <c r="K10" i="30"/>
  <c r="K9" i="30" s="1"/>
  <c r="AA176" i="25"/>
  <c r="AA172" i="25"/>
  <c r="X179" i="25"/>
  <c r="L179" i="25"/>
  <c r="R179" i="25"/>
  <c r="R173" i="25" s="1"/>
  <c r="I179" i="25"/>
  <c r="O179" i="25"/>
  <c r="F179" i="25"/>
  <c r="U179" i="25"/>
  <c r="B173" i="25"/>
  <c r="S31" i="5"/>
  <c r="T20" i="5"/>
  <c r="J16" i="7" s="1"/>
  <c r="D179" i="25" l="1"/>
  <c r="D173" i="25" s="1"/>
  <c r="F5" i="42"/>
  <c r="J32" i="41"/>
  <c r="G10" i="42"/>
  <c r="G40" i="30"/>
  <c r="V179" i="25"/>
  <c r="V173" i="25" s="1"/>
  <c r="U173" i="25"/>
  <c r="Y179" i="25"/>
  <c r="Y173" i="25" s="1"/>
  <c r="X173" i="25"/>
  <c r="G179" i="25"/>
  <c r="F173" i="25"/>
  <c r="J179" i="25"/>
  <c r="J173" i="25" s="1"/>
  <c r="J169" i="25" s="1"/>
  <c r="I173" i="25"/>
  <c r="I169" i="25" s="1"/>
  <c r="M179" i="25"/>
  <c r="M173" i="25" s="1"/>
  <c r="L173" i="25"/>
  <c r="L10" i="30"/>
  <c r="T31" i="5"/>
  <c r="P179" i="25"/>
  <c r="P173" i="25" s="1"/>
  <c r="O173" i="25"/>
  <c r="M4" i="11"/>
  <c r="K6" i="12"/>
  <c r="O7" i="9"/>
  <c r="M21" i="11"/>
  <c r="M55" i="11" s="1"/>
  <c r="K34" i="30" l="1"/>
  <c r="AA179" i="25"/>
  <c r="AA173" i="25" s="1"/>
  <c r="G173" i="25"/>
  <c r="K8" i="30"/>
  <c r="K7" i="30" l="1"/>
  <c r="B190" i="33" l="1"/>
  <c r="E7" i="33"/>
  <c r="D7" i="33"/>
  <c r="D190" i="33" s="1"/>
  <c r="F7" i="33"/>
  <c r="F190" i="33" s="1"/>
  <c r="E190" i="33" l="1"/>
  <c r="F170" i="24"/>
  <c r="F183" i="24" s="1"/>
  <c r="G7" i="33"/>
  <c r="F17" i="33" s="1"/>
  <c r="F18" i="33" l="1"/>
  <c r="F188" i="33"/>
  <c r="F189" i="33" s="1"/>
  <c r="G190" i="33"/>
  <c r="H7" i="33"/>
  <c r="H190" i="33" l="1"/>
  <c r="I7" i="33"/>
  <c r="G17" i="33"/>
  <c r="I190" i="33" l="1"/>
  <c r="J7" i="33"/>
  <c r="G18" i="33"/>
  <c r="G188" i="33"/>
  <c r="G189" i="33" s="1"/>
  <c r="H17" i="33"/>
  <c r="H18" i="33" l="1"/>
  <c r="H188" i="33"/>
  <c r="H189" i="33" s="1"/>
  <c r="J190" i="33"/>
  <c r="K7" i="33"/>
  <c r="I17" i="33"/>
  <c r="I18" i="33" l="1"/>
  <c r="I188" i="33"/>
  <c r="I189" i="33" s="1"/>
  <c r="K190" i="33"/>
  <c r="L7" i="33"/>
  <c r="J17" i="33"/>
  <c r="L190" i="33" l="1"/>
  <c r="M7" i="33"/>
  <c r="J18" i="33"/>
  <c r="J188" i="33"/>
  <c r="J189" i="33" s="1"/>
  <c r="K17" i="33"/>
  <c r="M190" i="33" l="1"/>
  <c r="N7" i="33"/>
  <c r="K18" i="33"/>
  <c r="K188" i="33"/>
  <c r="K189" i="33" s="1"/>
  <c r="L17" i="33"/>
  <c r="L18" i="33" l="1"/>
  <c r="L188" i="33"/>
  <c r="L189" i="33" s="1"/>
  <c r="N190" i="33"/>
  <c r="O7" i="33"/>
  <c r="M17" i="33"/>
  <c r="O190" i="33" l="1"/>
  <c r="P7" i="33"/>
  <c r="M18" i="33"/>
  <c r="M188" i="33"/>
  <c r="M189" i="33" s="1"/>
  <c r="N17" i="33"/>
  <c r="P190" i="33" l="1"/>
  <c r="Q7" i="33"/>
  <c r="N18" i="33"/>
  <c r="N188" i="33"/>
  <c r="N189" i="33" s="1"/>
  <c r="O17" i="33"/>
  <c r="Q190" i="33" l="1"/>
  <c r="R7" i="33"/>
  <c r="P17" i="33"/>
  <c r="O188" i="33"/>
  <c r="O189" i="33" s="1"/>
  <c r="O18" i="33"/>
  <c r="R190" i="33" l="1"/>
  <c r="X170" i="24"/>
  <c r="P188" i="33"/>
  <c r="P189" i="33" s="1"/>
  <c r="P18" i="33"/>
  <c r="Q17" i="33"/>
  <c r="Z170" i="24" l="1"/>
  <c r="Y170" i="24"/>
  <c r="X183" i="24"/>
  <c r="Q188" i="33"/>
  <c r="Q189" i="33" s="1"/>
  <c r="Q18" i="33"/>
  <c r="R17" i="33"/>
  <c r="AD170" i="24" s="1"/>
  <c r="AA170" i="24" l="1"/>
  <c r="AB170" i="24"/>
  <c r="AD183" i="24"/>
  <c r="AC170" i="24"/>
  <c r="Y183" i="24"/>
  <c r="AC183" i="24" s="1"/>
  <c r="R188" i="33"/>
  <c r="R189" i="33" s="1"/>
  <c r="R18" i="33"/>
  <c r="Z183" i="24" l="1"/>
  <c r="B171" i="25"/>
  <c r="AA183" i="24"/>
  <c r="L26" i="30" l="1"/>
  <c r="R171" i="25"/>
  <c r="R170" i="25" s="1"/>
  <c r="R169" i="25" s="1"/>
  <c r="F171" i="25"/>
  <c r="X171" i="25"/>
  <c r="O171" i="25"/>
  <c r="U171" i="25"/>
  <c r="L171" i="25"/>
  <c r="B170" i="25"/>
  <c r="B169" i="25" s="1"/>
  <c r="D171" i="25" l="1"/>
  <c r="D170" i="25" s="1"/>
  <c r="Y171" i="25"/>
  <c r="Y170" i="25" s="1"/>
  <c r="Y169" i="25" s="1"/>
  <c r="X170" i="25"/>
  <c r="X169" i="25" s="1"/>
  <c r="M171" i="25"/>
  <c r="M170" i="25" s="1"/>
  <c r="M169" i="25" s="1"/>
  <c r="L170" i="25"/>
  <c r="L169" i="25" s="1"/>
  <c r="P171" i="25"/>
  <c r="P170" i="25" s="1"/>
  <c r="P169" i="25" s="1"/>
  <c r="O170" i="25"/>
  <c r="O169" i="25" s="1"/>
  <c r="G171" i="25"/>
  <c r="F170" i="25"/>
  <c r="F169" i="25" s="1"/>
  <c r="V171" i="25"/>
  <c r="V170" i="25" s="1"/>
  <c r="V169" i="25" s="1"/>
  <c r="U170" i="25"/>
  <c r="U169" i="25" s="1"/>
  <c r="L24" i="30"/>
  <c r="AA171" i="25" l="1"/>
  <c r="AA170" i="25" s="1"/>
  <c r="G170" i="25"/>
  <c r="G169" i="25" s="1"/>
  <c r="J23" i="7" l="1"/>
  <c r="J20" i="7" s="1"/>
  <c r="J6" i="7"/>
  <c r="AA169" i="25"/>
  <c r="K22" i="30" l="1"/>
  <c r="J17" i="7"/>
  <c r="J14" i="7" s="1"/>
  <c r="J117" i="7" s="1"/>
  <c r="M39" i="11"/>
  <c r="M73" i="11" s="1"/>
  <c r="M90" i="11" s="1"/>
  <c r="M124" i="11" s="1"/>
  <c r="M38" i="11"/>
  <c r="M72" i="11" s="1"/>
  <c r="M89" i="11" s="1"/>
  <c r="M123" i="11" s="1"/>
  <c r="M40" i="11"/>
  <c r="M74" i="11" s="1"/>
  <c r="M91" i="11" s="1"/>
  <c r="M125" i="11" s="1"/>
  <c r="M41" i="11"/>
  <c r="K20" i="30"/>
  <c r="M122" i="11" l="1"/>
  <c r="M126" i="11" s="1"/>
  <c r="M128" i="11"/>
  <c r="M132" i="11"/>
  <c r="M129" i="11"/>
  <c r="M133" i="11"/>
  <c r="K19" i="30"/>
  <c r="M131" i="11"/>
  <c r="M127" i="11"/>
  <c r="M37" i="11" l="1"/>
  <c r="M71" i="11" s="1"/>
  <c r="M88" i="11" s="1"/>
  <c r="O8" i="9"/>
  <c r="K7" i="12"/>
  <c r="K74" i="30"/>
  <c r="K75" i="30" s="1"/>
  <c r="K67" i="30"/>
  <c r="K33" i="30"/>
  <c r="N13" i="15" l="1"/>
  <c r="O9" i="9"/>
  <c r="N12" i="15" s="1"/>
  <c r="N11" i="15" l="1"/>
  <c r="K35" i="30" s="1"/>
  <c r="K36" i="30" s="1"/>
  <c r="K40" i="30" s="1"/>
  <c r="K9" i="12" l="1"/>
  <c r="K10" i="12" s="1"/>
  <c r="K6" i="14" s="1"/>
  <c r="K14" i="14"/>
  <c r="O10" i="9"/>
  <c r="O11" i="9" s="1"/>
  <c r="O16" i="9" l="1"/>
  <c r="O13" i="9"/>
  <c r="K12" i="12" s="1"/>
  <c r="O14" i="9" l="1"/>
  <c r="O15" i="9" s="1"/>
  <c r="E4" i="38" l="1"/>
  <c r="F4" i="38" s="1"/>
  <c r="F6" i="11" l="1"/>
  <c r="F4" i="11" l="1"/>
  <c r="F22" i="11" s="1"/>
  <c r="F56" i="11" s="1"/>
  <c r="H7" i="9"/>
  <c r="H4" i="38"/>
  <c r="D12" i="30"/>
  <c r="F73" i="11"/>
  <c r="F90" i="11" s="1"/>
  <c r="B6" i="11"/>
  <c r="D9" i="30" l="1"/>
  <c r="F124" i="11"/>
  <c r="F132" i="11" s="1"/>
  <c r="B56" i="11"/>
  <c r="D7" i="9"/>
  <c r="G4" i="39"/>
  <c r="F36" i="11"/>
  <c r="F70" i="11" s="1"/>
  <c r="B70" i="11" s="1"/>
  <c r="F32" i="11"/>
  <c r="F66" i="11" s="1"/>
  <c r="B66" i="11" s="1"/>
  <c r="F31" i="11"/>
  <c r="F65" i="11" s="1"/>
  <c r="B65" i="11" s="1"/>
  <c r="F34" i="11"/>
  <c r="F68" i="11" s="1"/>
  <c r="B68" i="11" s="1"/>
  <c r="F25" i="11"/>
  <c r="F59" i="11" s="1"/>
  <c r="B59" i="11" s="1"/>
  <c r="F33" i="11"/>
  <c r="F67" i="11" s="1"/>
  <c r="B67" i="11" s="1"/>
  <c r="F23" i="11"/>
  <c r="F57" i="11" s="1"/>
  <c r="B4" i="11"/>
  <c r="F28" i="11"/>
  <c r="F62" i="11" s="1"/>
  <c r="B62" i="11" s="1"/>
  <c r="F35" i="11"/>
  <c r="F69" i="11" s="1"/>
  <c r="B69" i="11" s="1"/>
  <c r="F27" i="11"/>
  <c r="F61" i="11" s="1"/>
  <c r="B61" i="11" s="1"/>
  <c r="F24" i="11"/>
  <c r="F58" i="11" s="1"/>
  <c r="B58" i="11" s="1"/>
  <c r="F29" i="11"/>
  <c r="F63" i="11" s="1"/>
  <c r="B63" i="11" s="1"/>
  <c r="F26" i="11"/>
  <c r="F60" i="11" s="1"/>
  <c r="B60" i="11" s="1"/>
  <c r="F30" i="11"/>
  <c r="F64" i="11" s="1"/>
  <c r="B64" i="11" s="1"/>
  <c r="F21" i="11"/>
  <c r="F55" i="11" s="1"/>
  <c r="B57" i="11" l="1"/>
  <c r="F123" i="11"/>
  <c r="F127" i="11" s="1"/>
  <c r="B55" i="11"/>
  <c r="F128" i="11"/>
  <c r="B30" i="11"/>
  <c r="B33" i="11"/>
  <c r="B35" i="11"/>
  <c r="B32" i="11"/>
  <c r="B25" i="11"/>
  <c r="B26" i="11"/>
  <c r="B29" i="11"/>
  <c r="B28" i="11"/>
  <c r="B21" i="11"/>
  <c r="B36" i="11"/>
  <c r="B27" i="11"/>
  <c r="B31" i="11"/>
  <c r="B24" i="11"/>
  <c r="B34" i="11"/>
  <c r="D8" i="30"/>
  <c r="B22" i="11"/>
  <c r="G3" i="39"/>
  <c r="C4" i="39"/>
  <c r="C3" i="39" s="1"/>
  <c r="C4" i="42" s="1"/>
  <c r="F131" i="11" l="1"/>
  <c r="F122" i="11"/>
  <c r="F126" i="11" s="1"/>
  <c r="D7" i="30"/>
  <c r="K20" i="41" l="1"/>
  <c r="K29" i="41" s="1"/>
  <c r="H36" i="30"/>
  <c r="K32" i="41" l="1"/>
  <c r="G5" i="42"/>
  <c r="H10" i="42"/>
  <c r="H40" i="30"/>
  <c r="E7" i="38" l="1"/>
  <c r="F7" i="38" s="1"/>
  <c r="E12" i="30" l="1"/>
  <c r="L12" i="30" l="1"/>
  <c r="E9" i="30"/>
  <c r="G6" i="11"/>
  <c r="H7" i="38"/>
  <c r="H18" i="38" s="1"/>
  <c r="L9" i="30" l="1"/>
  <c r="E8" i="30"/>
  <c r="E6" i="12"/>
  <c r="I7" i="9"/>
  <c r="G4" i="11"/>
  <c r="G22" i="11" s="1"/>
  <c r="G56" i="11" s="1"/>
  <c r="G73" i="11"/>
  <c r="G90" i="11" s="1"/>
  <c r="G124" i="11" l="1"/>
  <c r="G132" i="11" s="1"/>
  <c r="H14" i="15"/>
  <c r="H13" i="15"/>
  <c r="I9" i="9"/>
  <c r="H4" i="39"/>
  <c r="H3" i="39" s="1"/>
  <c r="D4" i="42" s="1"/>
  <c r="L8" i="30"/>
  <c r="E7" i="30"/>
  <c r="G21" i="11"/>
  <c r="G55" i="11" s="1"/>
  <c r="G123" i="11" s="1"/>
  <c r="G29" i="11"/>
  <c r="G63" i="11" s="1"/>
  <c r="G27" i="11"/>
  <c r="G61" i="11" s="1"/>
  <c r="G25" i="11"/>
  <c r="G59" i="11" s="1"/>
  <c r="G35" i="11"/>
  <c r="G69" i="11" s="1"/>
  <c r="G30" i="11"/>
  <c r="G64" i="11" s="1"/>
  <c r="G36" i="11"/>
  <c r="G70" i="11" s="1"/>
  <c r="G28" i="11"/>
  <c r="G62" i="11" s="1"/>
  <c r="G26" i="11"/>
  <c r="G60" i="11" s="1"/>
  <c r="G34" i="11"/>
  <c r="G68" i="11" s="1"/>
  <c r="G31" i="11"/>
  <c r="G65" i="11" s="1"/>
  <c r="G71" i="11"/>
  <c r="G88" i="11" s="1"/>
  <c r="G32" i="11"/>
  <c r="G66" i="11" s="1"/>
  <c r="G24" i="11"/>
  <c r="G58" i="11" s="1"/>
  <c r="G33" i="11"/>
  <c r="G67" i="11" s="1"/>
  <c r="G23" i="11"/>
  <c r="G57" i="11" s="1"/>
  <c r="G125" i="11" s="1"/>
  <c r="G128" i="11" l="1"/>
  <c r="L7" i="30"/>
  <c r="E33" i="30"/>
  <c r="H4" i="42"/>
  <c r="G129" i="11"/>
  <c r="G133" i="11"/>
  <c r="G122" i="11"/>
  <c r="G126" i="11" s="1"/>
  <c r="G127" i="11"/>
  <c r="G131" i="11"/>
  <c r="H12" i="15"/>
  <c r="H11" i="15" s="1"/>
  <c r="I10" i="9" l="1"/>
  <c r="I11" i="9" s="1"/>
  <c r="E14" i="14"/>
  <c r="E35" i="30"/>
  <c r="E9" i="12"/>
  <c r="E10" i="12" s="1"/>
  <c r="E36" i="30" l="1"/>
  <c r="E40" i="30" s="1"/>
  <c r="E79" i="30"/>
  <c r="E6" i="14"/>
  <c r="H20" i="41"/>
  <c r="H29" i="41" s="1"/>
  <c r="I13" i="9"/>
  <c r="E12" i="12" s="1"/>
  <c r="E10" i="42" l="1"/>
  <c r="I14" i="9"/>
  <c r="I15" i="9" s="1"/>
  <c r="H32" i="41"/>
  <c r="D5" i="42"/>
  <c r="I16" i="9" l="1"/>
  <c r="G5" i="4" l="1"/>
  <c r="G9" i="4" s="1"/>
  <c r="G10" i="4" l="1"/>
  <c r="H12" i="50" s="1"/>
  <c r="H11" i="50" s="1"/>
  <c r="H10" i="50" s="1"/>
  <c r="H21" i="50" s="1"/>
  <c r="H22" i="50" s="1"/>
  <c r="B5" i="4"/>
  <c r="H8" i="53" l="1"/>
  <c r="C5" i="4"/>
  <c r="C9" i="4" s="1"/>
  <c r="C10" i="4" l="1"/>
  <c r="D12" i="50" s="1"/>
  <c r="D11" i="50" s="1"/>
  <c r="D10" i="50" s="1"/>
  <c r="D21" i="50" s="1"/>
  <c r="D22" i="50" s="1"/>
  <c r="D5" i="4"/>
  <c r="H10" i="53" l="1"/>
  <c r="I8" i="54"/>
  <c r="H23" i="50"/>
  <c r="D8" i="53"/>
  <c r="E5" i="4"/>
  <c r="E9" i="4" s="1"/>
  <c r="E10" i="4" l="1"/>
  <c r="F12" i="50" s="1"/>
  <c r="F11" i="50" s="1"/>
  <c r="F10" i="50" s="1"/>
  <c r="F21" i="50" s="1"/>
  <c r="F22" i="50" s="1"/>
  <c r="D22" i="29"/>
  <c r="D6" i="5"/>
  <c r="D10" i="53" l="1"/>
  <c r="E8" i="54"/>
  <c r="F8" i="53"/>
  <c r="D23" i="50"/>
  <c r="G22" i="45"/>
  <c r="B2" i="40"/>
  <c r="B10" i="40" s="1"/>
  <c r="D17" i="5"/>
  <c r="B22" i="45"/>
  <c r="I9" i="45"/>
  <c r="J9" i="45" s="1"/>
  <c r="N9" i="45" s="1"/>
  <c r="F6" i="5"/>
  <c r="F22" i="45"/>
  <c r="D21" i="29"/>
  <c r="D20" i="29"/>
  <c r="C19" i="7" l="1"/>
  <c r="D19" i="7"/>
  <c r="I22" i="45"/>
  <c r="B7" i="4" s="1"/>
  <c r="D23" i="29"/>
  <c r="D9" i="45"/>
  <c r="D22" i="45" s="1"/>
  <c r="P40" i="5"/>
  <c r="C2" i="40"/>
  <c r="F17" i="5"/>
  <c r="G6" i="5"/>
  <c r="AH9" i="5" s="1"/>
  <c r="AH10" i="5" s="1"/>
  <c r="D17" i="14"/>
  <c r="D3" i="43" s="1"/>
  <c r="L22" i="45"/>
  <c r="M22" i="45"/>
  <c r="F10" i="53" l="1"/>
  <c r="G8" i="54"/>
  <c r="F23" i="50"/>
  <c r="J22" i="45"/>
  <c r="N22" i="45"/>
  <c r="B6" i="4" s="1"/>
  <c r="B9" i="4" s="1"/>
  <c r="D22" i="30"/>
  <c r="B8" i="4"/>
  <c r="D4" i="43"/>
  <c r="C10" i="40"/>
  <c r="D2" i="40"/>
  <c r="D10" i="40" s="1"/>
  <c r="L19" i="7"/>
  <c r="D14" i="7"/>
  <c r="G17" i="5"/>
  <c r="H6" i="5"/>
  <c r="B10" i="4" l="1"/>
  <c r="C12" i="50" s="1"/>
  <c r="C11" i="50" s="1"/>
  <c r="C17" i="7"/>
  <c r="K17" i="7" s="1"/>
  <c r="P6" i="5"/>
  <c r="F22" i="29"/>
  <c r="F21" i="29"/>
  <c r="F20" i="29"/>
  <c r="C16" i="7"/>
  <c r="K16" i="7" s="1"/>
  <c r="H17" i="5"/>
  <c r="C15" i="7"/>
  <c r="E2" i="40"/>
  <c r="E10" i="40" s="1"/>
  <c r="G22" i="41"/>
  <c r="G21" i="41" s="1"/>
  <c r="E22" i="41"/>
  <c r="E21" i="41" s="1"/>
  <c r="F22" i="41"/>
  <c r="F21" i="41" s="1"/>
  <c r="D22" i="41"/>
  <c r="C10" i="50" l="1"/>
  <c r="C21" i="50" s="1"/>
  <c r="C22" i="50" s="1"/>
  <c r="C23" i="50" s="1"/>
  <c r="C27" i="50" s="1"/>
  <c r="F23" i="29"/>
  <c r="I49" i="45"/>
  <c r="J49" i="45" s="1"/>
  <c r="L49" i="45"/>
  <c r="M49" i="45" s="1"/>
  <c r="F49" i="45"/>
  <c r="G49" i="45" s="1"/>
  <c r="B62" i="45"/>
  <c r="P17" i="5"/>
  <c r="F17" i="14" s="1"/>
  <c r="F3" i="43" s="1"/>
  <c r="C3" i="43" s="1"/>
  <c r="R6" i="5"/>
  <c r="C14" i="7"/>
  <c r="K15" i="7"/>
  <c r="C22" i="41"/>
  <c r="D21" i="41"/>
  <c r="C21" i="41" s="1"/>
  <c r="O22" i="45"/>
  <c r="D21" i="30"/>
  <c r="E16" i="41"/>
  <c r="D16" i="41"/>
  <c r="G16" i="41"/>
  <c r="F16" i="41"/>
  <c r="D34" i="30"/>
  <c r="D27" i="50" l="1"/>
  <c r="D28" i="50" s="1"/>
  <c r="C28" i="50"/>
  <c r="C8" i="53"/>
  <c r="N49" i="45"/>
  <c r="M62" i="45"/>
  <c r="L62" i="45"/>
  <c r="R17" i="5"/>
  <c r="F4" i="43" s="1"/>
  <c r="C4" i="43" s="1"/>
  <c r="S6" i="5"/>
  <c r="D49" i="45"/>
  <c r="D62" i="45" s="1"/>
  <c r="F62" i="45"/>
  <c r="J62" i="45"/>
  <c r="I62" i="45"/>
  <c r="E25" i="7"/>
  <c r="M25" i="7" s="1"/>
  <c r="E19" i="7"/>
  <c r="M19" i="7" s="1"/>
  <c r="D8" i="4"/>
  <c r="E5" i="41"/>
  <c r="E3" i="41" s="1"/>
  <c r="E29" i="41" s="1"/>
  <c r="F5" i="41"/>
  <c r="F3" i="41" s="1"/>
  <c r="F29" i="41" s="1"/>
  <c r="F41" i="11"/>
  <c r="D5" i="41"/>
  <c r="D20" i="30"/>
  <c r="G5" i="41"/>
  <c r="G3" i="41" s="1"/>
  <c r="C16" i="41"/>
  <c r="C10" i="53" l="1"/>
  <c r="D8" i="54"/>
  <c r="D29" i="50"/>
  <c r="D7" i="4"/>
  <c r="F22" i="30"/>
  <c r="E23" i="7"/>
  <c r="E17" i="7"/>
  <c r="M17" i="7" s="1"/>
  <c r="G62" i="45"/>
  <c r="T6" i="5"/>
  <c r="S17" i="5"/>
  <c r="D7" i="12"/>
  <c r="D40" i="11"/>
  <c r="D74" i="11" s="1"/>
  <c r="D91" i="11" s="1"/>
  <c r="D125" i="11" s="1"/>
  <c r="C40" i="11"/>
  <c r="L20" i="30"/>
  <c r="D19" i="30"/>
  <c r="D39" i="11"/>
  <c r="D73" i="11" s="1"/>
  <c r="D90" i="11" s="1"/>
  <c r="D124" i="11" s="1"/>
  <c r="C39" i="11"/>
  <c r="F75" i="11"/>
  <c r="B41" i="11"/>
  <c r="B75" i="11" s="1"/>
  <c r="C5" i="41"/>
  <c r="D3" i="41"/>
  <c r="C11" i="53" l="1"/>
  <c r="C19" i="53" s="1"/>
  <c r="D5" i="53" s="1"/>
  <c r="D11" i="53" s="1"/>
  <c r="D19" i="53" s="1"/>
  <c r="E5" i="53" s="1"/>
  <c r="E16" i="7"/>
  <c r="M16" i="7" s="1"/>
  <c r="T17" i="5"/>
  <c r="E15" i="7"/>
  <c r="N62" i="45"/>
  <c r="M23" i="7"/>
  <c r="E20" i="7"/>
  <c r="I22" i="41"/>
  <c r="I21" i="41" s="1"/>
  <c r="L22" i="30"/>
  <c r="C37" i="11"/>
  <c r="C3" i="41"/>
  <c r="D29" i="41"/>
  <c r="C73" i="11"/>
  <c r="C90" i="11" s="1"/>
  <c r="C124" i="11" s="1"/>
  <c r="B39" i="11"/>
  <c r="B73" i="11" s="1"/>
  <c r="B90" i="11" s="1"/>
  <c r="B124" i="11" s="1"/>
  <c r="C31" i="41"/>
  <c r="L19" i="30"/>
  <c r="D74" i="30"/>
  <c r="D75" i="30" s="1"/>
  <c r="D67" i="30"/>
  <c r="D68" i="30" s="1"/>
  <c r="D33" i="30"/>
  <c r="E40" i="11"/>
  <c r="D129" i="11"/>
  <c r="D133" i="11"/>
  <c r="D38" i="11"/>
  <c r="D132" i="11"/>
  <c r="D128" i="11"/>
  <c r="C74" i="11"/>
  <c r="C91" i="11" s="1"/>
  <c r="C125" i="11" s="1"/>
  <c r="F40" i="11"/>
  <c r="F74" i="11" s="1"/>
  <c r="F91" i="11" s="1"/>
  <c r="F125" i="11" s="1"/>
  <c r="D6" i="4" l="1"/>
  <c r="D9" i="4" s="1"/>
  <c r="O62" i="45"/>
  <c r="F21" i="30"/>
  <c r="I16" i="41"/>
  <c r="F34" i="30"/>
  <c r="L34" i="30" s="1"/>
  <c r="L74" i="30" s="1"/>
  <c r="M15" i="7"/>
  <c r="E14" i="7"/>
  <c r="E117" i="7" s="1"/>
  <c r="M117" i="7"/>
  <c r="M119" i="7" s="1"/>
  <c r="E8" i="9"/>
  <c r="D13" i="15" s="1"/>
  <c r="C129" i="11"/>
  <c r="C133" i="11"/>
  <c r="D37" i="11"/>
  <c r="D71" i="11" s="1"/>
  <c r="D88" i="11" s="1"/>
  <c r="F8" i="9"/>
  <c r="B132" i="11"/>
  <c r="B128" i="11"/>
  <c r="F133" i="11"/>
  <c r="F129" i="11"/>
  <c r="B40" i="11"/>
  <c r="D72" i="11"/>
  <c r="D89" i="11" s="1"/>
  <c r="D123" i="11" s="1"/>
  <c r="B38" i="11"/>
  <c r="B72" i="11" s="1"/>
  <c r="B89" i="11" s="1"/>
  <c r="B123" i="11" s="1"/>
  <c r="E37" i="11"/>
  <c r="G8" i="9"/>
  <c r="L33" i="30"/>
  <c r="C132" i="11"/>
  <c r="C128" i="11"/>
  <c r="F37" i="11"/>
  <c r="F71" i="11" s="1"/>
  <c r="F88" i="11" s="1"/>
  <c r="H8" i="9"/>
  <c r="C71" i="11"/>
  <c r="C88" i="11" s="1"/>
  <c r="D10" i="4" l="1"/>
  <c r="E12" i="50" s="1"/>
  <c r="E11" i="50" s="1"/>
  <c r="E10" i="50" s="1"/>
  <c r="E21" i="50" s="1"/>
  <c r="E22" i="50" s="1"/>
  <c r="L36" i="30"/>
  <c r="F20" i="30"/>
  <c r="I5" i="41"/>
  <c r="I3" i="41" s="1"/>
  <c r="I29" i="41" s="1"/>
  <c r="L21" i="30"/>
  <c r="D14" i="15"/>
  <c r="E9" i="9"/>
  <c r="D12" i="15" s="1"/>
  <c r="B37" i="11"/>
  <c r="B71" i="11" s="1"/>
  <c r="B88" i="11" s="1"/>
  <c r="G13" i="15"/>
  <c r="G14" i="15"/>
  <c r="D8" i="9"/>
  <c r="C13" i="15" s="1"/>
  <c r="D127" i="11"/>
  <c r="D131" i="11"/>
  <c r="D122" i="11"/>
  <c r="D126" i="11" s="1"/>
  <c r="E14" i="15"/>
  <c r="E13" i="15"/>
  <c r="F9" i="9"/>
  <c r="B127" i="11"/>
  <c r="B131" i="11"/>
  <c r="B122" i="11"/>
  <c r="B126" i="11" s="1"/>
  <c r="E8" i="53" l="1"/>
  <c r="E5" i="42"/>
  <c r="F19" i="30"/>
  <c r="F79" i="30"/>
  <c r="C14" i="15"/>
  <c r="D11" i="15"/>
  <c r="E10" i="9" s="1"/>
  <c r="E11" i="9" s="1"/>
  <c r="E12" i="15"/>
  <c r="E11" i="15" s="1"/>
  <c r="F10" i="9" s="1"/>
  <c r="F11" i="9" s="1"/>
  <c r="E23" i="50" l="1"/>
  <c r="E27" i="50" s="1"/>
  <c r="I31" i="41"/>
  <c r="I32" i="41" s="1"/>
  <c r="F33" i="30"/>
  <c r="F36" i="30" s="1"/>
  <c r="F74" i="30"/>
  <c r="F75" i="30" s="1"/>
  <c r="F67" i="30"/>
  <c r="F13" i="9"/>
  <c r="F14" i="9" s="1"/>
  <c r="E13" i="9"/>
  <c r="F27" i="50" l="1"/>
  <c r="E28" i="50"/>
  <c r="E29" i="50" s="1"/>
  <c r="E10" i="53"/>
  <c r="E11" i="53" s="1"/>
  <c r="E19" i="53" s="1"/>
  <c r="F5" i="53" s="1"/>
  <c r="F11" i="53" s="1"/>
  <c r="F19" i="53" s="1"/>
  <c r="G5" i="53" s="1"/>
  <c r="F8" i="54"/>
  <c r="C8" i="54" s="1"/>
  <c r="F40" i="30"/>
  <c r="F10" i="42"/>
  <c r="F16" i="9"/>
  <c r="F15" i="9"/>
  <c r="E14" i="9"/>
  <c r="G27" i="50" l="1"/>
  <c r="F28" i="50"/>
  <c r="F29" i="50" s="1"/>
  <c r="G11" i="53"/>
  <c r="G19" i="53" s="1"/>
  <c r="H5" i="53" s="1"/>
  <c r="C12" i="15"/>
  <c r="C11" i="15" s="1"/>
  <c r="H27" i="50" l="1"/>
  <c r="H28" i="50" s="1"/>
  <c r="H29" i="50" s="1"/>
  <c r="G28" i="50"/>
  <c r="G29" i="50" s="1"/>
  <c r="H11" i="53"/>
  <c r="H19" i="53" s="1"/>
  <c r="D9" i="12"/>
  <c r="D10" i="9"/>
  <c r="D35" i="30"/>
  <c r="D14" i="14"/>
  <c r="D16" i="14" s="1"/>
  <c r="E16" i="14" s="1"/>
  <c r="F16" i="14" s="1"/>
  <c r="G16" i="14" s="1"/>
  <c r="H16" i="14" s="1"/>
  <c r="I16" i="14" s="1"/>
  <c r="J16" i="14" s="1"/>
  <c r="K16" i="14" s="1"/>
  <c r="L35" i="30" l="1"/>
  <c r="G20" i="41"/>
  <c r="D79" i="30"/>
  <c r="D36" i="30"/>
  <c r="D10" i="42" l="1"/>
  <c r="C10" i="42" s="1"/>
  <c r="D40" i="30"/>
  <c r="C20" i="41"/>
  <c r="G29" i="41"/>
  <c r="C29" i="41" s="1"/>
  <c r="C32" i="41" l="1"/>
  <c r="C5" i="42"/>
  <c r="L40" i="30"/>
  <c r="D41" i="30"/>
  <c r="D42" i="30" l="1"/>
  <c r="E41" i="30"/>
  <c r="C6" i="42"/>
  <c r="H5" i="42"/>
  <c r="D9" i="14" l="1"/>
  <c r="D44" i="30"/>
  <c r="D43" i="30"/>
  <c r="E42" i="30"/>
  <c r="F41" i="30"/>
  <c r="E44" i="30" l="1"/>
  <c r="E9" i="14"/>
  <c r="E43" i="30"/>
  <c r="F42" i="30"/>
  <c r="G41" i="30"/>
  <c r="G42" i="30" l="1"/>
  <c r="H41" i="30"/>
  <c r="F43" i="30"/>
  <c r="F9" i="14"/>
  <c r="F44" i="30"/>
  <c r="G43" i="30" l="1"/>
  <c r="G9" i="14"/>
  <c r="G44" i="30"/>
  <c r="H42" i="30"/>
  <c r="I41" i="30"/>
  <c r="H43" i="30" l="1"/>
  <c r="H44" i="30"/>
  <c r="H9" i="14"/>
  <c r="I42" i="30"/>
  <c r="J41" i="30"/>
  <c r="J42" i="30" l="1"/>
  <c r="K41" i="30"/>
  <c r="K42" i="30" s="1"/>
  <c r="I9" i="14"/>
  <c r="I43" i="30"/>
  <c r="I44" i="30"/>
  <c r="J9" i="14" l="1"/>
  <c r="J43" i="30"/>
  <c r="J44" i="30"/>
  <c r="L42" i="30"/>
  <c r="K9" i="14"/>
  <c r="K43" i="30"/>
  <c r="L43" i="30" s="1"/>
  <c r="D51" i="30" s="1"/>
  <c r="K44" i="30"/>
  <c r="L44" i="30" s="1"/>
  <c r="D53" i="30" s="1"/>
  <c r="D54" i="30" s="1"/>
  <c r="D55" i="30" l="1"/>
  <c r="D56" i="30" s="1"/>
  <c r="H6" i="42" l="1"/>
  <c r="D13" i="9"/>
  <c r="D12" i="12" s="1"/>
  <c r="E5" i="38" l="1"/>
  <c r="F5" i="38" s="1"/>
  <c r="E7" i="11" l="1"/>
  <c r="G7" i="9" l="1"/>
  <c r="E4" i="11"/>
  <c r="H5" i="38"/>
  <c r="D11" i="30"/>
  <c r="L11" i="30" s="1"/>
  <c r="E74" i="11"/>
  <c r="E91" i="11" s="1"/>
  <c r="B7" i="11"/>
  <c r="E23" i="11"/>
  <c r="E57" i="11" s="1"/>
  <c r="E125" i="11" s="1"/>
  <c r="E133" i="11" s="1"/>
  <c r="D6" i="12" l="1"/>
  <c r="D10" i="12" s="1"/>
  <c r="F14" i="15"/>
  <c r="F4" i="39"/>
  <c r="F3" i="39" s="1"/>
  <c r="F13" i="15"/>
  <c r="G9" i="9"/>
  <c r="B74" i="11"/>
  <c r="B91" i="11" s="1"/>
  <c r="B125" i="11" s="1"/>
  <c r="B133" i="11" s="1"/>
  <c r="B23" i="11"/>
  <c r="E129" i="11"/>
  <c r="E36" i="11"/>
  <c r="E70" i="11" s="1"/>
  <c r="E22" i="11"/>
  <c r="E56" i="11" s="1"/>
  <c r="E124" i="11" s="1"/>
  <c r="E71" i="11"/>
  <c r="E88" i="11" s="1"/>
  <c r="E27" i="11"/>
  <c r="E61" i="11" s="1"/>
  <c r="E30" i="11"/>
  <c r="E64" i="11" s="1"/>
  <c r="E31" i="11"/>
  <c r="E65" i="11" s="1"/>
  <c r="E32" i="11"/>
  <c r="E66" i="11" s="1"/>
  <c r="E24" i="11"/>
  <c r="E58" i="11" s="1"/>
  <c r="E29" i="11"/>
  <c r="E63" i="11" s="1"/>
  <c r="E25" i="11"/>
  <c r="E59" i="11" s="1"/>
  <c r="E35" i="11"/>
  <c r="E69" i="11" s="1"/>
  <c r="E21" i="11"/>
  <c r="E55" i="11" s="1"/>
  <c r="E123" i="11" s="1"/>
  <c r="E34" i="11"/>
  <c r="E68" i="11" s="1"/>
  <c r="E33" i="11"/>
  <c r="E67" i="11" s="1"/>
  <c r="E26" i="11"/>
  <c r="E60" i="11" s="1"/>
  <c r="E28" i="11"/>
  <c r="E62" i="11" s="1"/>
  <c r="B129" i="11" l="1"/>
  <c r="E127" i="11"/>
  <c r="E122" i="11"/>
  <c r="E126" i="11" s="1"/>
  <c r="E131" i="11"/>
  <c r="E128" i="11"/>
  <c r="E132" i="11"/>
  <c r="H9" i="9"/>
  <c r="F12" i="15"/>
  <c r="F11" i="15" s="1"/>
  <c r="G10" i="9" s="1"/>
  <c r="G11" i="9" s="1"/>
  <c r="D23" i="12"/>
  <c r="E5" i="12" s="1"/>
  <c r="D6" i="14"/>
  <c r="G13" i="9" l="1"/>
  <c r="G14" i="9" s="1"/>
  <c r="J8" i="14"/>
  <c r="K8" i="14"/>
  <c r="E8" i="14"/>
  <c r="I8" i="14"/>
  <c r="H8" i="14"/>
  <c r="G8" i="14"/>
  <c r="D8" i="14"/>
  <c r="F8" i="14"/>
  <c r="D7" i="14"/>
  <c r="E7" i="14" s="1"/>
  <c r="F7" i="14" s="1"/>
  <c r="G7" i="14" s="1"/>
  <c r="H7" i="14" s="1"/>
  <c r="I7" i="14" s="1"/>
  <c r="J7" i="14" s="1"/>
  <c r="K7" i="14" s="1"/>
  <c r="D3" i="42"/>
  <c r="E23" i="12"/>
  <c r="F5" i="12" s="1"/>
  <c r="G12" i="15"/>
  <c r="G11" i="15" s="1"/>
  <c r="H10" i="9" s="1"/>
  <c r="H11" i="9" s="1"/>
  <c r="D9" i="9"/>
  <c r="D11" i="9" s="1"/>
  <c r="D14" i="9" s="1"/>
  <c r="H13" i="9" l="1"/>
  <c r="H14" i="9" s="1"/>
  <c r="D16" i="9"/>
  <c r="D15" i="9"/>
  <c r="H3" i="42"/>
  <c r="D6" i="42"/>
  <c r="E3" i="42"/>
  <c r="E6" i="42" s="1"/>
  <c r="F23" i="12"/>
  <c r="G5" i="12" s="1"/>
  <c r="G15" i="9"/>
  <c r="G16" i="9"/>
  <c r="H16" i="9" l="1"/>
  <c r="H15" i="9"/>
  <c r="F3" i="42"/>
  <c r="F6" i="42" s="1"/>
  <c r="G23" i="12"/>
  <c r="H5" i="12" s="1"/>
  <c r="G3" i="42" l="1"/>
  <c r="G6" i="42" s="1"/>
  <c r="H23" i="12"/>
  <c r="I5" i="12" s="1"/>
  <c r="I23" i="12" s="1"/>
  <c r="J5" i="12" s="1"/>
  <c r="J23" i="12" s="1"/>
  <c r="K5" i="12" s="1"/>
  <c r="K23" i="12" s="1"/>
  <c r="C25" i="7" l="1"/>
  <c r="C23" i="7"/>
  <c r="K23" i="7" s="1"/>
  <c r="C24" i="7"/>
  <c r="K24" i="7" s="1"/>
  <c r="C22" i="7"/>
  <c r="K22" i="7" s="1"/>
  <c r="D25" i="7"/>
  <c r="C21" i="7"/>
  <c r="K21" i="7" l="1"/>
  <c r="K117" i="7" s="1"/>
  <c r="K119" i="7" s="1"/>
  <c r="C20" i="7"/>
  <c r="C117" i="7" s="1"/>
  <c r="D20" i="7"/>
  <c r="D117" i="7" s="1"/>
  <c r="L25" i="7"/>
  <c r="L117" i="7" s="1"/>
  <c r="L119" i="7" s="1"/>
</calcChain>
</file>

<file path=xl/comments1.xml><?xml version="1.0" encoding="utf-8"?>
<comments xmlns="http://schemas.openxmlformats.org/spreadsheetml/2006/main">
  <authors>
    <author>user</author>
  </authors>
  <commentList>
    <comment ref="O14" authorId="0">
      <text>
        <r>
          <rPr>
            <b/>
            <sz val="9"/>
            <color indexed="81"/>
            <rFont val="Tahoma"/>
            <family val="2"/>
            <charset val="204"/>
          </rPr>
          <t>user:</t>
        </r>
        <r>
          <rPr>
            <sz val="9"/>
            <color indexed="81"/>
            <rFont val="Tahoma"/>
            <family val="2"/>
            <charset val="204"/>
          </rPr>
          <t xml:space="preserve">
в приходе в какую группу переводится нужно заполнить: в производители или в рабочие</t>
        </r>
      </text>
    </comment>
  </commentList>
</comments>
</file>

<file path=xl/comments2.xml><?xml version="1.0" encoding="utf-8"?>
<comments xmlns="http://schemas.openxmlformats.org/spreadsheetml/2006/main">
  <authors>
    <author>Автор</author>
  </authors>
  <commentList>
    <comment ref="AC68" authorId="0">
      <text>
        <r>
          <rPr>
            <sz val="8"/>
            <color indexed="81"/>
            <rFont val="Tahoma"/>
            <family val="2"/>
            <charset val="204"/>
          </rPr>
          <t xml:space="preserve">общий, включая прирост коров, быков и нетелей, но они не учитываются в калькуляции
</t>
        </r>
      </text>
    </comment>
    <comment ref="AC91" authorId="0">
      <text>
        <r>
          <rPr>
            <sz val="8"/>
            <color indexed="81"/>
            <rFont val="Tahoma"/>
            <family val="2"/>
            <charset val="204"/>
          </rPr>
          <t xml:space="preserve">общий, включая прирост коров, быков и нетелей, но они не учитываются в калькуляции
</t>
        </r>
      </text>
    </comment>
    <comment ref="AC114" authorId="0">
      <text>
        <r>
          <rPr>
            <sz val="8"/>
            <color indexed="81"/>
            <rFont val="Tahoma"/>
            <family val="2"/>
            <charset val="204"/>
          </rPr>
          <t xml:space="preserve">общий, включая прирост коров, быков и нетелей, но они не учитываются в калькуляции
</t>
        </r>
      </text>
    </comment>
    <comment ref="AC137" authorId="0">
      <text>
        <r>
          <rPr>
            <sz val="8"/>
            <color indexed="81"/>
            <rFont val="Tahoma"/>
            <family val="2"/>
            <charset val="204"/>
          </rPr>
          <t xml:space="preserve">общий, включая прирост коров, быков и нетелей, но они не учитываются в калькуляции
</t>
        </r>
      </text>
    </comment>
    <comment ref="AC160" authorId="0">
      <text>
        <r>
          <rPr>
            <sz val="8"/>
            <color indexed="81"/>
            <rFont val="Tahoma"/>
            <family val="2"/>
            <charset val="204"/>
          </rPr>
          <t xml:space="preserve">общий, включая прирост коров, быков и нетелей, но они не учитываются в калькуляции
</t>
        </r>
      </text>
    </comment>
    <comment ref="AC183" authorId="0">
      <text>
        <r>
          <rPr>
            <sz val="8"/>
            <color indexed="81"/>
            <rFont val="Tahoma"/>
            <family val="2"/>
            <charset val="204"/>
          </rPr>
          <t xml:space="preserve">общий, включая прирост коров, быков и нетелей, но они не учитываются в калькуляции
</t>
        </r>
      </text>
    </comment>
  </commentList>
</comments>
</file>

<file path=xl/comments3.xml><?xml version="1.0" encoding="utf-8"?>
<comments xmlns="http://schemas.openxmlformats.org/spreadsheetml/2006/main">
  <authors>
    <author>user</author>
    <author>Евдокия</author>
  </authors>
  <commentList>
    <comment ref="J6" authorId="0">
      <text>
        <r>
          <rPr>
            <b/>
            <sz val="9"/>
            <color indexed="81"/>
            <rFont val="Tahoma"/>
            <family val="2"/>
            <charset val="204"/>
          </rPr>
          <t>user:</t>
        </r>
        <r>
          <rPr>
            <sz val="9"/>
            <color indexed="81"/>
            <rFont val="Tahoma"/>
            <family val="2"/>
            <charset val="204"/>
          </rPr>
          <t xml:space="preserve">
себестоимость сена может измениться при приобретении новой техники</t>
        </r>
      </text>
    </comment>
    <comment ref="B57" authorId="1">
      <text>
        <r>
          <rPr>
            <b/>
            <sz val="8"/>
            <color indexed="81"/>
            <rFont val="Tahoma"/>
            <family val="2"/>
            <charset val="204"/>
          </rPr>
          <t>Евдокия:</t>
        </r>
        <r>
          <rPr>
            <sz val="8"/>
            <color indexed="81"/>
            <rFont val="Tahoma"/>
            <family val="2"/>
            <charset val="204"/>
          </rPr>
          <t xml:space="preserve">
округление</t>
        </r>
      </text>
    </comment>
  </commentList>
</comments>
</file>

<file path=xl/comments4.xml><?xml version="1.0" encoding="utf-8"?>
<comments xmlns="http://schemas.openxmlformats.org/spreadsheetml/2006/main">
  <authors>
    <author>user</author>
  </authors>
  <commentList>
    <comment ref="H3" authorId="0">
      <text>
        <r>
          <rPr>
            <b/>
            <sz val="9"/>
            <color indexed="81"/>
            <rFont val="Tahoma"/>
            <family val="2"/>
            <charset val="204"/>
          </rPr>
          <t>user:</t>
        </r>
        <r>
          <rPr>
            <sz val="9"/>
            <color indexed="81"/>
            <rFont val="Tahoma"/>
            <family val="2"/>
            <charset val="204"/>
          </rPr>
          <t xml:space="preserve">
Федеральным законом от 27.12.2019 N 463-ФЗ "О внесении изменений в статью 1 Федерального закона "О минимальном размере оплаты труда" установлен минимальный размер оплаты труда с 1 января 2020 года в сумме 12 130 рублей в месяц.</t>
        </r>
      </text>
    </comment>
  </commentList>
</comments>
</file>

<file path=xl/sharedStrings.xml><?xml version="1.0" encoding="utf-8"?>
<sst xmlns="http://schemas.openxmlformats.org/spreadsheetml/2006/main" count="3978" uniqueCount="778">
  <si>
    <r>
      <t>1. Заполните поля, выделенные</t>
    </r>
    <r>
      <rPr>
        <sz val="12"/>
        <color indexed="10"/>
        <rFont val="Times New Roman"/>
        <family val="1"/>
        <charset val="204"/>
      </rPr>
      <t xml:space="preserve"> красным</t>
    </r>
    <r>
      <rPr>
        <sz val="12"/>
        <rFont val="Times New Roman"/>
        <family val="1"/>
        <charset val="204"/>
      </rPr>
      <t xml:space="preserve"> цветом. Обратите внимание, что расходы указываются из расчета на единицу выпускаемой продукции (оказываемых услуг) в тыс.руб. </t>
    </r>
    <r>
      <rPr>
        <b/>
        <i/>
        <sz val="12"/>
        <rFont val="Times New Roman"/>
        <family val="1"/>
        <charset val="204"/>
      </rPr>
      <t>Например</t>
    </r>
    <r>
      <rPr>
        <sz val="12"/>
        <rFont val="Times New Roman"/>
        <family val="1"/>
        <charset val="204"/>
      </rPr>
      <t xml:space="preserve">, на производство 1 л. творога требуется 1,5 л молока (по цене 30 руб./л) и 3 упаковочных пакета (по цене 10 руб./пакет). При производстве 1 тн молока расходуется 20 кВт электроэнергии (по цене 3 руб./кВт) и 10 л воды (по цене 34 руб./л). В данном примере в разделе Продукция (услуга) 3. "Творог" расходы составят: "Сырье" - </t>
    </r>
    <r>
      <rPr>
        <sz val="12"/>
        <color indexed="10"/>
        <rFont val="Times New Roman"/>
        <family val="1"/>
        <charset val="204"/>
      </rPr>
      <t>0,045</t>
    </r>
    <r>
      <rPr>
        <sz val="12"/>
        <rFont val="Times New Roman"/>
        <family val="1"/>
        <charset val="204"/>
      </rPr>
      <t xml:space="preserve"> (1,5 л х 30 руб./л / 1000 руб.); "Тара" - </t>
    </r>
    <r>
      <rPr>
        <sz val="12"/>
        <color indexed="10"/>
        <rFont val="Times New Roman"/>
        <family val="1"/>
        <charset val="204"/>
      </rPr>
      <t>0,03</t>
    </r>
    <r>
      <rPr>
        <sz val="12"/>
        <rFont val="Times New Roman"/>
        <family val="1"/>
        <charset val="204"/>
      </rPr>
      <t xml:space="preserve"> (3 пакета х 10 руб./пакет / 1000 руб.), "Электроэнергия" - </t>
    </r>
    <r>
      <rPr>
        <sz val="12"/>
        <color indexed="10"/>
        <rFont val="Times New Roman"/>
        <family val="1"/>
        <charset val="204"/>
      </rPr>
      <t>0,00006</t>
    </r>
    <r>
      <rPr>
        <sz val="12"/>
        <rFont val="Times New Roman"/>
        <family val="1"/>
        <charset val="204"/>
      </rPr>
      <t xml:space="preserve"> (20 кВт х 3 руб./кВт / 1000 л / 1000 руб.), вода - </t>
    </r>
    <r>
      <rPr>
        <sz val="12"/>
        <color indexed="10"/>
        <rFont val="Times New Roman"/>
        <family val="1"/>
        <charset val="204"/>
      </rPr>
      <t>0,00034</t>
    </r>
    <r>
      <rPr>
        <sz val="12"/>
        <rFont val="Times New Roman"/>
        <family val="1"/>
        <charset val="204"/>
      </rPr>
      <t xml:space="preserve"> (10 л х 34 руб./л / 1000 л / 1000 руб.). По таким видам ресурсов, как материалы, переменная часть оплаты труда и топливо, поля останутся незаполненными, поскольку эти ресурсы не используются в производстве.</t>
    </r>
  </si>
  <si>
    <r>
      <t xml:space="preserve">2. При производстве продукции (услуг) могут использоваться виды ресурсов, не указанные в таблице. Данные по таким видам ресурсов вводятся в строку </t>
    </r>
    <r>
      <rPr>
        <i/>
        <sz val="10"/>
        <color indexed="10"/>
        <rFont val="Times New Roman"/>
        <family val="1"/>
        <charset val="204"/>
      </rPr>
      <t>Ресурс 7 "Укажите наименование"</t>
    </r>
    <r>
      <rPr>
        <sz val="10"/>
        <color indexed="10"/>
        <rFont val="Times New Roman"/>
        <family val="1"/>
        <charset val="204"/>
      </rPr>
      <t xml:space="preserve">. </t>
    </r>
    <r>
      <rPr>
        <b/>
        <i/>
        <sz val="12"/>
        <rFont val="Times New Roman"/>
        <family val="1"/>
        <charset val="204"/>
      </rPr>
      <t>Например</t>
    </r>
    <r>
      <rPr>
        <sz val="12"/>
        <rFont val="Times New Roman"/>
        <family val="1"/>
        <charset val="204"/>
      </rPr>
      <t xml:space="preserve">, на производство 1 л творога также требуется сахар в кол-ве 0,02 кг (по цене 30 руб./кг). Тогда в разделе продукция (услуга) 3. "Творог" появится строка </t>
    </r>
    <r>
      <rPr>
        <i/>
        <sz val="10"/>
        <color indexed="10"/>
        <rFont val="Times New Roman"/>
        <family val="1"/>
        <charset val="204"/>
      </rPr>
      <t>Ресурс 7 "Сахар"</t>
    </r>
    <r>
      <rPr>
        <sz val="12"/>
        <rFont val="Times New Roman"/>
        <family val="1"/>
        <charset val="204"/>
      </rPr>
      <t xml:space="preserve"> - </t>
    </r>
    <r>
      <rPr>
        <sz val="12"/>
        <color indexed="10"/>
        <rFont val="Times New Roman"/>
        <family val="1"/>
        <charset val="204"/>
      </rPr>
      <t>0,0006</t>
    </r>
    <r>
      <rPr>
        <sz val="12"/>
        <rFont val="Times New Roman"/>
        <family val="1"/>
        <charset val="204"/>
      </rPr>
      <t xml:space="preserve"> (0,02 кг х 30 руб./кг / 1000 руб.).  </t>
    </r>
  </si>
  <si>
    <r>
      <t xml:space="preserve">5. </t>
    </r>
    <r>
      <rPr>
        <b/>
        <sz val="12"/>
        <rFont val="Times New Roman"/>
        <family val="1"/>
        <charset val="204"/>
      </rPr>
      <t>Внимание!</t>
    </r>
    <r>
      <rPr>
        <sz val="12"/>
        <rFont val="Times New Roman"/>
        <family val="1"/>
        <charset val="204"/>
      </rPr>
      <t xml:space="preserve"> Не изменяйте поля, выделенные </t>
    </r>
    <r>
      <rPr>
        <b/>
        <sz val="12"/>
        <rFont val="Times New Roman"/>
        <family val="1"/>
        <charset val="204"/>
      </rPr>
      <t>черным</t>
    </r>
    <r>
      <rPr>
        <sz val="12"/>
        <rFont val="Times New Roman"/>
        <family val="1"/>
        <charset val="204"/>
      </rPr>
      <t xml:space="preserve"> цветом, не удаляйте незаполненные строки или столбцы, иначе это нарушит последующие расчеты.</t>
    </r>
  </si>
  <si>
    <r>
      <t xml:space="preserve">2. </t>
    </r>
    <r>
      <rPr>
        <b/>
        <sz val="12"/>
        <rFont val="Times New Roman"/>
        <family val="1"/>
        <charset val="204"/>
      </rPr>
      <t xml:space="preserve">Внимание! </t>
    </r>
    <r>
      <rPr>
        <sz val="12"/>
        <rFont val="Times New Roman"/>
        <family val="1"/>
        <charset val="204"/>
      </rPr>
      <t xml:space="preserve">Не вводите знак "%" рядом с указанной ставкой налога, не изменяйте поля, выделенные </t>
    </r>
    <r>
      <rPr>
        <b/>
        <sz val="12"/>
        <rFont val="Times New Roman"/>
        <family val="1"/>
        <charset val="204"/>
      </rPr>
      <t>черным</t>
    </r>
    <r>
      <rPr>
        <sz val="12"/>
        <rFont val="Times New Roman"/>
        <family val="1"/>
        <charset val="204"/>
      </rPr>
      <t xml:space="preserve"> цветом, иначе это нарушит последующие расчеты.</t>
    </r>
  </si>
  <si>
    <r>
      <t xml:space="preserve">1. Если в качестве источника финансирования проекта используется вклад в уставный капитал, то введите долю соучредителя(ей) в уставном капитале (без знака "%"). Это поле выделено </t>
    </r>
    <r>
      <rPr>
        <sz val="12"/>
        <color indexed="10"/>
        <rFont val="Times New Roman"/>
        <family val="1"/>
        <charset val="204"/>
      </rPr>
      <t>красным</t>
    </r>
    <r>
      <rPr>
        <sz val="12"/>
        <rFont val="Times New Roman"/>
        <family val="1"/>
        <charset val="204"/>
      </rPr>
      <t xml:space="preserve"> цветом. </t>
    </r>
    <r>
      <rPr>
        <b/>
        <i/>
        <sz val="12"/>
        <rFont val="Times New Roman"/>
        <family val="1"/>
        <charset val="204"/>
      </rPr>
      <t>Например</t>
    </r>
    <r>
      <rPr>
        <sz val="12"/>
        <rFont val="Times New Roman"/>
        <family val="1"/>
        <charset val="204"/>
      </rPr>
      <t>, если доля соучредителя(ей) составляет 30%, то в поле необходимо поставить цифру "</t>
    </r>
    <r>
      <rPr>
        <sz val="12"/>
        <color indexed="10"/>
        <rFont val="Times New Roman"/>
        <family val="1"/>
        <charset val="204"/>
      </rPr>
      <t>30</t>
    </r>
    <r>
      <rPr>
        <sz val="12"/>
        <rFont val="Times New Roman"/>
        <family val="1"/>
        <charset val="204"/>
      </rPr>
      <t xml:space="preserve">". Если планируется изменение долей в уставном капитале, то заполните поля, выделенные </t>
    </r>
    <r>
      <rPr>
        <sz val="12"/>
        <color indexed="12"/>
        <rFont val="Times New Roman"/>
        <family val="1"/>
        <charset val="204"/>
      </rPr>
      <t>синим</t>
    </r>
    <r>
      <rPr>
        <sz val="12"/>
        <rFont val="Times New Roman"/>
        <family val="1"/>
        <charset val="204"/>
      </rPr>
      <t xml:space="preserve"> цветом, если не планируется - данные поля заполнять не надо.</t>
    </r>
  </si>
  <si>
    <r>
      <t xml:space="preserve">4. </t>
    </r>
    <r>
      <rPr>
        <b/>
        <sz val="12"/>
        <rFont val="Times New Roman"/>
        <family val="1"/>
        <charset val="204"/>
      </rPr>
      <t>Внимание!</t>
    </r>
    <r>
      <rPr>
        <sz val="12"/>
        <rFont val="Times New Roman"/>
        <family val="1"/>
        <charset val="204"/>
      </rPr>
      <t xml:space="preserve"> Не изменяйте поля, выделенные </t>
    </r>
    <r>
      <rPr>
        <b/>
        <sz val="12"/>
        <rFont val="Times New Roman"/>
        <family val="1"/>
        <charset val="204"/>
      </rPr>
      <t>черным</t>
    </r>
    <r>
      <rPr>
        <sz val="12"/>
        <rFont val="Times New Roman"/>
        <family val="1"/>
        <charset val="204"/>
      </rPr>
      <t xml:space="preserve"> цветом, не удаляйте незаполненные столбцы, иначе это нарушит последующие расчеты.</t>
    </r>
  </si>
  <si>
    <t>Остаток денежных средств на конец периода (стр. 1 + стр. 6 - стр. 7 - стр. 8 + стр. 12)</t>
  </si>
  <si>
    <r>
      <t xml:space="preserve">1. Если для реализации проекта привлекаются кредиты и/или займы, то заполните поля, выделенные </t>
    </r>
    <r>
      <rPr>
        <sz val="12"/>
        <color indexed="10"/>
        <rFont val="Times New Roman"/>
        <family val="1"/>
        <charset val="204"/>
      </rPr>
      <t>красным</t>
    </r>
    <r>
      <rPr>
        <sz val="12"/>
        <rFont val="Times New Roman"/>
        <family val="1"/>
        <charset val="204"/>
      </rPr>
      <t xml:space="preserve"> цветом, если не привлекаются - данные поля заполнять не надо. </t>
    </r>
  </si>
  <si>
    <r>
      <t xml:space="preserve">2. Остальные поля таблицы заполняются автоматически на основе данных, введенных ранее. </t>
    </r>
    <r>
      <rPr>
        <b/>
        <sz val="12"/>
        <rFont val="Times New Roman"/>
        <family val="1"/>
        <charset val="204"/>
      </rPr>
      <t xml:space="preserve">Внимание! </t>
    </r>
    <r>
      <rPr>
        <sz val="12"/>
        <rFont val="Times New Roman"/>
        <family val="1"/>
        <charset val="204"/>
      </rPr>
      <t xml:space="preserve">Не изменяйте поля, выделенные </t>
    </r>
    <r>
      <rPr>
        <b/>
        <sz val="12"/>
        <rFont val="Times New Roman"/>
        <family val="1"/>
        <charset val="204"/>
      </rPr>
      <t>черным</t>
    </r>
    <r>
      <rPr>
        <sz val="12"/>
        <rFont val="Times New Roman"/>
        <family val="1"/>
        <charset val="204"/>
      </rPr>
      <t xml:space="preserve"> цветом, не удаляйте незаполненные строки или столбцы, иначе это нарушит расчеты.</t>
    </r>
  </si>
  <si>
    <r>
      <t xml:space="preserve"> - введите </t>
    </r>
    <r>
      <rPr>
        <i/>
        <sz val="12"/>
        <color indexed="10"/>
        <rFont val="Times New Roman"/>
        <family val="1"/>
        <charset val="204"/>
      </rPr>
      <t>0</t>
    </r>
    <r>
      <rPr>
        <sz val="12"/>
        <rFont val="Times New Roman"/>
        <family val="1"/>
        <charset val="204"/>
      </rPr>
      <t>, если рисковое событие не возникнет;</t>
    </r>
  </si>
  <si>
    <r>
      <t xml:space="preserve"> - введите </t>
    </r>
    <r>
      <rPr>
        <i/>
        <sz val="12"/>
        <color indexed="10"/>
        <rFont val="Times New Roman"/>
        <family val="1"/>
        <charset val="204"/>
      </rPr>
      <t>25</t>
    </r>
    <r>
      <rPr>
        <sz val="12"/>
        <rFont val="Times New Roman"/>
        <family val="1"/>
        <charset val="204"/>
      </rPr>
      <t>, если рисковое событие скорее всего возникнет;</t>
    </r>
  </si>
  <si>
    <r>
      <t xml:space="preserve"> - введите </t>
    </r>
    <r>
      <rPr>
        <i/>
        <sz val="12"/>
        <color indexed="10"/>
        <rFont val="Times New Roman"/>
        <family val="1"/>
        <charset val="204"/>
      </rPr>
      <t>50</t>
    </r>
    <r>
      <rPr>
        <sz val="12"/>
        <rFont val="Times New Roman"/>
        <family val="1"/>
        <charset val="204"/>
      </rPr>
      <t>, если не известно возникнет рисковое событие или нет;</t>
    </r>
  </si>
  <si>
    <r>
      <t xml:space="preserve"> - введите </t>
    </r>
    <r>
      <rPr>
        <i/>
        <sz val="12"/>
        <color indexed="10"/>
        <rFont val="Times New Roman"/>
        <family val="1"/>
        <charset val="204"/>
      </rPr>
      <t>100</t>
    </r>
    <r>
      <rPr>
        <sz val="12"/>
        <rFont val="Times New Roman"/>
        <family val="1"/>
        <charset val="204"/>
      </rPr>
      <t>, если рисковое событие наверняка наступит.</t>
    </r>
  </si>
  <si>
    <r>
      <t xml:space="preserve"> - введите </t>
    </r>
    <r>
      <rPr>
        <sz val="12"/>
        <color indexed="10"/>
        <rFont val="Times New Roman"/>
        <family val="1"/>
        <charset val="204"/>
      </rPr>
      <t>0,001</t>
    </r>
    <r>
      <rPr>
        <sz val="12"/>
        <rFont val="Times New Roman"/>
        <family val="1"/>
        <charset val="204"/>
      </rPr>
      <t xml:space="preserve">, если данный риск способен привести к незначительной потере прибыли проекта; </t>
    </r>
  </si>
  <si>
    <r>
      <t xml:space="preserve"> - введите </t>
    </r>
    <r>
      <rPr>
        <sz val="12"/>
        <color indexed="10"/>
        <rFont val="Times New Roman"/>
        <family val="1"/>
        <charset val="204"/>
      </rPr>
      <t>0,06</t>
    </r>
    <r>
      <rPr>
        <sz val="12"/>
        <rFont val="Times New Roman"/>
        <family val="1"/>
        <charset val="204"/>
      </rPr>
      <t xml:space="preserve">, если данный риск способен привести к полной потере прибыли проекта; </t>
    </r>
  </si>
  <si>
    <r>
      <t xml:space="preserve"> - введите </t>
    </r>
    <r>
      <rPr>
        <sz val="12"/>
        <color indexed="10"/>
        <rFont val="Times New Roman"/>
        <family val="1"/>
        <charset val="204"/>
      </rPr>
      <t>0,1</t>
    </r>
    <r>
      <rPr>
        <sz val="12"/>
        <rFont val="Times New Roman"/>
        <family val="1"/>
        <charset val="204"/>
      </rPr>
      <t xml:space="preserve">, если данный риск способен привести к потери выручки проекта; </t>
    </r>
  </si>
  <si>
    <r>
      <t xml:space="preserve"> - введите </t>
    </r>
    <r>
      <rPr>
        <sz val="12"/>
        <color indexed="10"/>
        <rFont val="Times New Roman"/>
        <family val="1"/>
        <charset val="204"/>
      </rPr>
      <t>1</t>
    </r>
    <r>
      <rPr>
        <sz val="12"/>
        <rFont val="Times New Roman"/>
        <family val="1"/>
        <charset val="204"/>
      </rPr>
      <t xml:space="preserve">, если данный риск способен привести к полным убыткам проекта, соизмеримыми со стоимостью имущества; </t>
    </r>
  </si>
  <si>
    <r>
      <t xml:space="preserve">3. </t>
    </r>
    <r>
      <rPr>
        <b/>
        <sz val="12"/>
        <rFont val="Times New Roman"/>
        <family val="1"/>
        <charset val="204"/>
      </rPr>
      <t>Внимание!</t>
    </r>
    <r>
      <rPr>
        <sz val="12"/>
        <rFont val="Times New Roman"/>
        <family val="1"/>
        <charset val="204"/>
      </rPr>
      <t xml:space="preserve"> Не изменяйте поля, выделенные </t>
    </r>
    <r>
      <rPr>
        <b/>
        <sz val="12"/>
        <rFont val="Times New Roman"/>
        <family val="1"/>
        <charset val="204"/>
      </rPr>
      <t>черным</t>
    </r>
    <r>
      <rPr>
        <sz val="12"/>
        <rFont val="Times New Roman"/>
        <family val="1"/>
        <charset val="204"/>
      </rPr>
      <t xml:space="preserve"> цветом, иначе это нарушит расчеты.</t>
    </r>
  </si>
  <si>
    <r>
      <t xml:space="preserve">Индекс доходности </t>
    </r>
    <r>
      <rPr>
        <sz val="12"/>
        <rFont val="Times New Roman"/>
        <family val="1"/>
        <charset val="204"/>
      </rPr>
      <t>(сумма дохода в стр. 2 / сумма инвестиций в стр. 1)</t>
    </r>
  </si>
  <si>
    <t>1. Поля таблицы заполняются автоматически на основе данных, введенных ранее. В незаполненных полях необходимо поставить цифру "0".</t>
  </si>
  <si>
    <t>Рентабельность продукции проекта, % (стр. 8 / стр.2 х 100%)</t>
  </si>
  <si>
    <t>Рентабельность продаж проекта, % (стр. 8 / стр.1 х 100%)</t>
  </si>
  <si>
    <t>Доля соучредителя(ей) в уставном капитале, %</t>
  </si>
  <si>
    <t>Чистая прибыль до выплаты части соучредителю(ям) (стр. 3 - стр.4)</t>
  </si>
  <si>
    <t>Выплаты части чистой прибыли соучредителю(ям) (стр. 5 х стр. 6 / 100)</t>
  </si>
  <si>
    <t>Чистая прибыль проекта (стр. 5 - стр. 7)</t>
  </si>
  <si>
    <t>собственные средства Инициатора Проекта</t>
  </si>
  <si>
    <t>Финансирование проекта, в т. ч.:</t>
  </si>
  <si>
    <r>
      <t xml:space="preserve">2. Остальные поля таблицы заполняются автоматически на основе данных, введенных ранее. </t>
    </r>
    <r>
      <rPr>
        <b/>
        <sz val="12"/>
        <rFont val="Times New Roman"/>
        <family val="1"/>
        <charset val="204"/>
      </rPr>
      <t/>
    </r>
  </si>
  <si>
    <r>
      <t>3. Если выпуск продукции (услуг) начинается не с 1 квартала (2 квартала и т.д.), то в столбце "1 кв." ("2 кв." и т.д.") в строках 9 и 10 необходимо поставить цифру "</t>
    </r>
    <r>
      <rPr>
        <sz val="12"/>
        <color indexed="10"/>
        <rFont val="Times New Roman"/>
        <family val="1"/>
        <charset val="204"/>
      </rPr>
      <t>0</t>
    </r>
    <r>
      <rPr>
        <sz val="12"/>
        <rFont val="Times New Roman"/>
        <family val="1"/>
        <charset val="204"/>
      </rPr>
      <t xml:space="preserve">". Эти поля выделены </t>
    </r>
    <r>
      <rPr>
        <sz val="12"/>
        <color indexed="10"/>
        <rFont val="Times New Roman"/>
        <family val="1"/>
        <charset val="204"/>
      </rPr>
      <t>красным</t>
    </r>
    <r>
      <rPr>
        <sz val="12"/>
        <rFont val="Times New Roman"/>
        <family val="1"/>
        <charset val="204"/>
      </rPr>
      <t xml:space="preserve"> цветом.</t>
    </r>
  </si>
  <si>
    <r>
      <t xml:space="preserve">4. Если в последующие годы планируется изменение расходов, то заполните поля, выделенные </t>
    </r>
    <r>
      <rPr>
        <sz val="12"/>
        <color indexed="12"/>
        <rFont val="Times New Roman"/>
        <family val="1"/>
        <charset val="204"/>
      </rPr>
      <t>синим</t>
    </r>
    <r>
      <rPr>
        <sz val="12"/>
        <rFont val="Times New Roman"/>
        <family val="1"/>
        <charset val="204"/>
      </rPr>
      <t xml:space="preserve"> цветом. Если изменений не планируется, то данные поля заполнять не надо.</t>
    </r>
  </si>
  <si>
    <t>3. Обратите внимание, что итог по строке 13 "Остаток денежных средств на конец периода" должен быть больше нуля или равен нулю. Если итог имеет отрицательное значение, то проект считается финансово несостоятельным. Чем больше величина остатка, тем более ликвиден и менее рискован проект.</t>
  </si>
  <si>
    <t xml:space="preserve">4. Наведя курсор на строки, имеющие нижнее подчеркивание, и кликнув по ним мышкой, вы произведете автоматический переход к соответствующей таблице. </t>
  </si>
  <si>
    <r>
      <t>другие средства (</t>
    </r>
    <r>
      <rPr>
        <i/>
        <sz val="12"/>
        <color indexed="10"/>
        <rFont val="Times New Roman"/>
        <family val="1"/>
        <charset val="204"/>
      </rPr>
      <t>укажите вид поддержки и наименование программы</t>
    </r>
    <r>
      <rPr>
        <i/>
        <sz val="12"/>
        <rFont val="Times New Roman"/>
        <family val="1"/>
        <charset val="204"/>
      </rPr>
      <t>)</t>
    </r>
  </si>
  <si>
    <t>2. Порог рентабельности показывает минимальную величину выручки (или ее критический уровень), которая должна быть получена при реализации проекта. Если выручка будет ниже критического уровня, то проект принесет убытки.</t>
  </si>
  <si>
    <t xml:space="preserve">3. Запас финансовой прочности показывает разницу между объемом выручки, запланированным в проекте, и порогом рентабельности. Обратите внимание, что значение показателя должно быть больше нуля. В противном случае проект является убыточным. Чем выше значение показателя, тем менее рисковым считается проект.    </t>
  </si>
  <si>
    <t>4. Критический объем продаж показывает минимальное количество единиц производимой и реализуемой продукции (услуг) проекта.</t>
  </si>
  <si>
    <t>Количественная оценка риска, %</t>
  </si>
  <si>
    <t>менее 10</t>
  </si>
  <si>
    <t>от 10 до 25</t>
  </si>
  <si>
    <t>более 25</t>
  </si>
  <si>
    <r>
      <t>1. По каждому виду риска заполните поля в столбце</t>
    </r>
    <r>
      <rPr>
        <i/>
        <sz val="12"/>
        <rFont val="Times New Roman"/>
        <family val="1"/>
        <charset val="204"/>
      </rPr>
      <t xml:space="preserve"> </t>
    </r>
    <r>
      <rPr>
        <sz val="12"/>
        <rFont val="Times New Roman"/>
        <family val="1"/>
        <charset val="204"/>
      </rPr>
      <t>"Вероятность наступления риска, %"</t>
    </r>
    <r>
      <rPr>
        <i/>
        <sz val="12"/>
        <rFont val="Times New Roman"/>
        <family val="1"/>
        <charset val="204"/>
      </rPr>
      <t xml:space="preserve">, </t>
    </r>
    <r>
      <rPr>
        <sz val="12"/>
        <rFont val="Times New Roman"/>
        <family val="1"/>
        <charset val="204"/>
      </rPr>
      <t xml:space="preserve">выделенные </t>
    </r>
    <r>
      <rPr>
        <sz val="12"/>
        <color indexed="10"/>
        <rFont val="Times New Roman"/>
        <family val="1"/>
        <charset val="204"/>
      </rPr>
      <t>красным</t>
    </r>
    <r>
      <rPr>
        <sz val="12"/>
        <rFont val="Times New Roman"/>
        <family val="1"/>
        <charset val="204"/>
      </rPr>
      <t xml:space="preserve"> цветом: </t>
    </r>
  </si>
  <si>
    <r>
      <t>2. По каждому виду риска заполните поля в столбце "Уровень риска"</t>
    </r>
    <r>
      <rPr>
        <i/>
        <sz val="12"/>
        <rFont val="Times New Roman"/>
        <family val="1"/>
        <charset val="204"/>
      </rPr>
      <t xml:space="preserve">, </t>
    </r>
    <r>
      <rPr>
        <sz val="12"/>
        <rFont val="Times New Roman"/>
        <family val="1"/>
        <charset val="204"/>
      </rPr>
      <t xml:space="preserve">выделенные </t>
    </r>
    <r>
      <rPr>
        <sz val="12"/>
        <color indexed="10"/>
        <rFont val="Times New Roman"/>
        <family val="1"/>
        <charset val="204"/>
      </rPr>
      <t>красным</t>
    </r>
    <r>
      <rPr>
        <sz val="12"/>
        <rFont val="Times New Roman"/>
        <family val="1"/>
        <charset val="204"/>
      </rPr>
      <t xml:space="preserve"> цветом:</t>
    </r>
  </si>
  <si>
    <t>4. Итог таблицы даст вам представление об уровне риска проекта. Если значение совокупного риска менее 10%, то риск проекта минимален, если от 10% до 25% - риск допустимый, если более 25% - риск высокий.</t>
  </si>
  <si>
    <t>3. Значение чистого дохода проекта должно быть выше нуля (см. стр. 3 табл. 10). В противном случае проект признается экономически неэффективным. Чем выше значение показателя, тем менее рисковым считается проект.</t>
  </si>
  <si>
    <t>4. Индекс доходности показывает, сколько рублей дохода принесет каждый рубль инвестиций, вложенных в проект  (см. стр. 4 табл. 10). Значение показателя должно быть больше единицы. В противном случае проект признается экономически неэффективным.</t>
  </si>
  <si>
    <t>7. В строке 4 табл. 11 введите данные по количеству новых рабочих мест, которые предполагается создать в ходе реализации проекта.</t>
  </si>
  <si>
    <t xml:space="preserve">1. Данные таблицы 10 используются для обоснования эффективности проекта с точки зрения всех участников проекта. </t>
  </si>
  <si>
    <r>
      <t xml:space="preserve">3. Поля в строках 1-4 таблицы 10 заполняются автоматически на основе данных, введенных ранее. </t>
    </r>
    <r>
      <rPr>
        <b/>
        <sz val="12"/>
        <rFont val="Times New Roman"/>
        <family val="1"/>
        <charset val="204"/>
      </rPr>
      <t>Внимание!</t>
    </r>
    <r>
      <rPr>
        <sz val="12"/>
        <rFont val="Times New Roman"/>
        <family val="1"/>
        <charset val="204"/>
      </rPr>
      <t xml:space="preserve"> Не изменяйте поля, выделенные черным цветом, не удаляйте незаполненные столбцы, иначе это нарушит последующие расчеты.</t>
    </r>
  </si>
  <si>
    <t>6. Чистый денежный поток бюджета (стр. 3 табл. 11) показывает превышение бюджетных доходов (налогов) над расходами (например, грантом).</t>
  </si>
  <si>
    <r>
      <t xml:space="preserve">3. Если количество используемых ресурсов значительно, то следует сгруппировать их по определенным признакам. Расходы по группе ресурсов вводятся в строку </t>
    </r>
    <r>
      <rPr>
        <i/>
        <sz val="10"/>
        <color indexed="10"/>
        <rFont val="Times New Roman"/>
        <family val="1"/>
        <charset val="204"/>
      </rPr>
      <t>Ресурс 8 "Укажите наименование"</t>
    </r>
    <r>
      <rPr>
        <sz val="12"/>
        <rFont val="Times New Roman"/>
        <family val="1"/>
        <charset val="204"/>
      </rPr>
      <t xml:space="preserve">. </t>
    </r>
    <r>
      <rPr>
        <b/>
        <i/>
        <sz val="12"/>
        <rFont val="Times New Roman"/>
        <family val="1"/>
        <charset val="204"/>
      </rPr>
      <t>Например</t>
    </r>
    <r>
      <rPr>
        <sz val="12"/>
        <rFont val="Times New Roman"/>
        <family val="1"/>
        <charset val="204"/>
      </rPr>
      <t xml:space="preserve">, для производства творога, помимо указанных выше ресурсов,  используются различные вспомогательные материалы. Для производства 1 л творога расходы на впомогательные материалы составляют 3 руб. Тогда в разделе Продукция (услуга) 3. "Творог" появится строка </t>
    </r>
    <r>
      <rPr>
        <i/>
        <sz val="10"/>
        <color indexed="10"/>
        <rFont val="Times New Roman"/>
        <family val="1"/>
        <charset val="204"/>
      </rPr>
      <t>Ресурс 8 "Вспомогательные материалы"</t>
    </r>
    <r>
      <rPr>
        <sz val="12"/>
        <rFont val="Times New Roman"/>
        <family val="1"/>
        <charset val="204"/>
      </rPr>
      <t xml:space="preserve"> - </t>
    </r>
    <r>
      <rPr>
        <sz val="12"/>
        <color indexed="10"/>
        <rFont val="Times New Roman"/>
        <family val="1"/>
        <charset val="204"/>
      </rPr>
      <t xml:space="preserve">0,003 </t>
    </r>
    <r>
      <rPr>
        <sz val="12"/>
        <rFont val="Times New Roman"/>
        <family val="1"/>
        <charset val="204"/>
      </rPr>
      <t xml:space="preserve">(3 руб. / 1000 руб.).   </t>
    </r>
  </si>
  <si>
    <r>
      <t xml:space="preserve">1. Начните заполнение таблицы с раздела </t>
    </r>
    <r>
      <rPr>
        <b/>
        <i/>
        <sz val="12"/>
        <rFont val="Times New Roman"/>
        <family val="1"/>
        <charset val="204"/>
      </rPr>
      <t xml:space="preserve">1 </t>
    </r>
    <r>
      <rPr>
        <sz val="12"/>
        <rFont val="Times New Roman"/>
        <family val="1"/>
        <charset val="204"/>
      </rPr>
      <t>"</t>
    </r>
    <r>
      <rPr>
        <b/>
        <i/>
        <sz val="12"/>
        <rFont val="Times New Roman"/>
        <family val="1"/>
        <charset val="204"/>
      </rPr>
      <t>Потребность во внеоборотных активах (капитальные вложения)</t>
    </r>
    <r>
      <rPr>
        <sz val="12"/>
        <rFont val="Times New Roman"/>
        <family val="1"/>
        <charset val="204"/>
      </rPr>
      <t>".</t>
    </r>
  </si>
  <si>
    <t>5. После заполнения раздела 1 аналогичным образом заполните остальные разделы таблицы.</t>
  </si>
  <si>
    <r>
      <t xml:space="preserve">2. Заполните поля в столбце "Наименование актива", выделенные </t>
    </r>
    <r>
      <rPr>
        <sz val="12"/>
        <color indexed="10"/>
        <rFont val="Times New Roman"/>
        <family val="1"/>
        <charset val="204"/>
      </rPr>
      <t>красным</t>
    </r>
    <r>
      <rPr>
        <sz val="12"/>
        <rFont val="Times New Roman"/>
        <family val="1"/>
        <charset val="204"/>
      </rPr>
      <t xml:space="preserve"> цветом. Наименование актива может быть изменено. Например, если приобретается два авто, но не приобретаются здания, то строку 1 "Здания и сооружения" замените строкой "Транспортное средство 1", в строке 3 укажите "Транспортное средство 2".</t>
    </r>
  </si>
  <si>
    <r>
      <t xml:space="preserve">1. Введите </t>
    </r>
    <r>
      <rPr>
        <b/>
        <sz val="12"/>
        <rFont val="Times New Roman"/>
        <family val="1"/>
        <charset val="204"/>
      </rPr>
      <t>цифрами</t>
    </r>
    <r>
      <rPr>
        <sz val="12"/>
        <rFont val="Times New Roman"/>
        <family val="1"/>
        <charset val="204"/>
      </rPr>
      <t xml:space="preserve"> начальный год разработки проекта (год инвестиций в проект),</t>
    </r>
  </si>
  <si>
    <r>
      <t xml:space="preserve">1. Заполните только поля, выделенные </t>
    </r>
    <r>
      <rPr>
        <sz val="12"/>
        <color indexed="10"/>
        <rFont val="Times New Roman"/>
        <family val="1"/>
        <charset val="204"/>
      </rPr>
      <t>красным</t>
    </r>
    <r>
      <rPr>
        <sz val="12"/>
        <rFont val="Times New Roman"/>
        <family val="1"/>
        <charset val="204"/>
      </rPr>
      <t xml:space="preserve"> цветом.</t>
    </r>
  </si>
  <si>
    <t>Инструкция по заполнению таблицы 6</t>
  </si>
  <si>
    <t>Инструкция по заполнению и использованию таблицы 7</t>
  </si>
  <si>
    <t>Инструкция по использованию таблицы 8</t>
  </si>
  <si>
    <t>Инструкция по заполнению и использованию таблицы 9</t>
  </si>
  <si>
    <t>Инструкция по заполнению и использованию таблиц 10 и 11</t>
  </si>
  <si>
    <t>Инструкция по заполнению таблицы 4.1</t>
  </si>
  <si>
    <t>Инструкция по заполнению таблицы 2</t>
  </si>
  <si>
    <t>Период окупаемости проекта</t>
  </si>
  <si>
    <t>2. Данные таблицы 11 используются для обоснования целесообразности мер государственной финансовой поддержки проекта.</t>
  </si>
  <si>
    <t>Вероятность наступления риска, %</t>
  </si>
  <si>
    <t xml:space="preserve">Уровень риска </t>
  </si>
  <si>
    <t>ЗНАЧЕНИЕ СОВОКУПНОГО РИСКА</t>
  </si>
  <si>
    <t>Данные для оценки значения совокупного риска</t>
  </si>
  <si>
    <t>Вид и наименование сырья и вспомогательных материалов</t>
  </si>
  <si>
    <t>Итого</t>
  </si>
  <si>
    <t>Прочие неучтенные расходы</t>
  </si>
  <si>
    <t>Общая потребность в инвестициях</t>
  </si>
  <si>
    <t>ИСТОЧНИКИ ФИНАНСИРОВАНИЯ ПРОЕКТА</t>
  </si>
  <si>
    <t>Вид источника</t>
  </si>
  <si>
    <t>Таблица 1</t>
  </si>
  <si>
    <t>Таблица 2</t>
  </si>
  <si>
    <t>Переход на начальную страницу</t>
  </si>
  <si>
    <t>в том числе по кварталам</t>
  </si>
  <si>
    <t>1 кв.</t>
  </si>
  <si>
    <t>2 кв.</t>
  </si>
  <si>
    <t>3 кв.</t>
  </si>
  <si>
    <t>4 кв.</t>
  </si>
  <si>
    <t>Всего</t>
  </si>
  <si>
    <t>Показатель</t>
  </si>
  <si>
    <t>Совокупный объем продаж, тыс.руб.</t>
  </si>
  <si>
    <t>-</t>
  </si>
  <si>
    <t>РАСХОДЫ НА ОПЛАТУ ТРУДА</t>
  </si>
  <si>
    <t>Дополнительная информация, обязательная к заполнению</t>
  </si>
  <si>
    <t>ПОТРЕБНОСТЬ В ПРОИЗВОДСТВЕННЫХ РЕСУРСАХ</t>
  </si>
  <si>
    <t>Транспортные расходы</t>
  </si>
  <si>
    <t>Ставка начислений на зарплату (по отчислениям во внебюджетные фонды),%</t>
  </si>
  <si>
    <t>Выручка от реализации без НДС (табл. 3)</t>
  </si>
  <si>
    <t>Номер строки</t>
  </si>
  <si>
    <t>Балансовая прибыль (стр. 1 - стр. 2)</t>
  </si>
  <si>
    <t>НАЛОГИ</t>
  </si>
  <si>
    <t>по УСН (база - доходы)</t>
  </si>
  <si>
    <t>Действующая ставка налога, %</t>
  </si>
  <si>
    <t>по ОСН (налог на прибыль)</t>
  </si>
  <si>
    <t>Денежные средства на начало периода</t>
  </si>
  <si>
    <t>БАЛАНС ДЕНЕЖНЫХ СРЕДСТВ</t>
  </si>
  <si>
    <t>Сальдо денежных средств от финансовой деятельности (стр. 9 - стр. 10 - стр.11)</t>
  </si>
  <si>
    <t xml:space="preserve">Гашение привлеченных кредитов и займов </t>
  </si>
  <si>
    <t>Электроэнергия на технологические нужды</t>
  </si>
  <si>
    <t xml:space="preserve">ФИНАНСОВЫЕ РЕЗУЛЬТАТЫ ПРОЕКТА </t>
  </si>
  <si>
    <t>БЕЗУБЫТОЧНОСТЬ ПРОЕКТА</t>
  </si>
  <si>
    <t>Условно-переменные расходы</t>
  </si>
  <si>
    <t>Условно-постоянные расходы</t>
  </si>
  <si>
    <t>Валовая маржа</t>
  </si>
  <si>
    <t>Коэффициент валовой маржи</t>
  </si>
  <si>
    <t>Цена</t>
  </si>
  <si>
    <r>
      <t xml:space="preserve">Критический объем продаж, </t>
    </r>
    <r>
      <rPr>
        <b/>
        <sz val="12"/>
        <rFont val="Times New Roman"/>
        <family val="1"/>
        <charset val="204"/>
      </rPr>
      <t>ед.</t>
    </r>
  </si>
  <si>
    <t>Инвестиционная стадия</t>
  </si>
  <si>
    <t>Несвоевременное получение гранта</t>
  </si>
  <si>
    <t>Вид риска</t>
  </si>
  <si>
    <t>Значение риска</t>
  </si>
  <si>
    <t>1.1.</t>
  </si>
  <si>
    <t>2.</t>
  </si>
  <si>
    <t>1.</t>
  </si>
  <si>
    <t>Снижение качества продукции в связи с некачественным сырьем</t>
  </si>
  <si>
    <t>Производственная стадия</t>
  </si>
  <si>
    <t>Резкий непредвиденный рост цен на сырье, материалы, комплектующие, транспортировку и т.д.</t>
  </si>
  <si>
    <t>2.6.</t>
  </si>
  <si>
    <t>3.</t>
  </si>
  <si>
    <t>Реализационная стадия</t>
  </si>
  <si>
    <t>2.7.</t>
  </si>
  <si>
    <t>2.9.</t>
  </si>
  <si>
    <t xml:space="preserve">Остановка производства по экологическим или санитарно-эпидемиологическим показаниям </t>
  </si>
  <si>
    <t>4.</t>
  </si>
  <si>
    <t>Форс-мажор</t>
  </si>
  <si>
    <t>4.1.</t>
  </si>
  <si>
    <t>Непредвиденные рост налогов</t>
  </si>
  <si>
    <t>4.2.</t>
  </si>
  <si>
    <t>Пожар, наводнение и др. чрезвычайные обстоятельства</t>
  </si>
  <si>
    <t>3.6.</t>
  </si>
  <si>
    <t>Падение спроса на товар</t>
  </si>
  <si>
    <t>РИСКИ ПРОЕКТА</t>
  </si>
  <si>
    <t>Минимальный уровень риска</t>
  </si>
  <si>
    <t>Допустимый уровень риска</t>
  </si>
  <si>
    <t>Высокий уровень риска</t>
  </si>
  <si>
    <t xml:space="preserve">   Качественная оценка риска</t>
  </si>
  <si>
    <t>БЮДЖЕТНАЯ ЭФФЕКТИВНОСТЬ ПРОЕКТА</t>
  </si>
  <si>
    <t xml:space="preserve">КОММЕРЧЕСКАЯ ЭФФЕКТИВНОСТЬ ПРОЕКТА </t>
  </si>
  <si>
    <r>
      <t>Накопленное сальдо потока</t>
    </r>
    <r>
      <rPr>
        <b/>
        <sz val="12"/>
        <rFont val="Times New Roman"/>
        <family val="1"/>
        <charset val="204"/>
      </rPr>
      <t xml:space="preserve"> - чистый доход проекта </t>
    </r>
    <r>
      <rPr>
        <sz val="12"/>
        <rFont val="Times New Roman"/>
        <family val="1"/>
        <charset val="204"/>
      </rPr>
      <t>(стр. 2 - стр. 1 + сальдо предыд. года)</t>
    </r>
    <r>
      <rPr>
        <b/>
        <sz val="12"/>
        <rFont val="Times New Roman"/>
        <family val="1"/>
        <charset val="204"/>
      </rPr>
      <t xml:space="preserve"> </t>
    </r>
  </si>
  <si>
    <r>
      <t>Чистый денежный поток бюджета</t>
    </r>
    <r>
      <rPr>
        <sz val="12"/>
        <rFont val="Times New Roman"/>
        <family val="1"/>
        <charset val="204"/>
      </rPr>
      <t xml:space="preserve"> (стр. 1 - стр.2 + итог предыд. года)</t>
    </r>
  </si>
  <si>
    <t>Наименование актива</t>
  </si>
  <si>
    <t>Новые рабочие места, ед.</t>
  </si>
  <si>
    <t>Инструкция по проведению финансовых расчетов</t>
  </si>
  <si>
    <t xml:space="preserve">2. Чтобы сформировать финансовые расчеты, необходимо последовательно заполнить все 11 таблиц, указанных выше, начиная с таблицы 1. </t>
  </si>
  <si>
    <t>Кол-во (кг, тн, шт. и т.д.)</t>
  </si>
  <si>
    <t>Инструкция по заполнению таблицы 1</t>
  </si>
  <si>
    <t>Статья расходов</t>
  </si>
  <si>
    <t xml:space="preserve">например, </t>
  </si>
  <si>
    <t>6. После того, как все таблицы будут заполнены, их можно распечатать. Для этого вновь зайдите на страницу каждой таблицы, выберите "Файл" =&gt; "Печать" .</t>
  </si>
  <si>
    <r>
      <t xml:space="preserve">Цена, </t>
    </r>
    <r>
      <rPr>
        <b/>
        <sz val="12"/>
        <rFont val="Times New Roman"/>
        <family val="1"/>
        <charset val="204"/>
      </rPr>
      <t>руб.</t>
    </r>
  </si>
  <si>
    <t>Инструкция по заполнению таблицы 4.2</t>
  </si>
  <si>
    <t>Наименование должности</t>
  </si>
  <si>
    <t>Инструкция по заполнению таблицы 5</t>
  </si>
  <si>
    <t>4. После заполнения таблицы 1 кликните мышкой на строку "Переход на начальную страницу". Произойдет переход на начальную страницу, и вы сможете аналогичным образом заполнить остальные таблицы.</t>
  </si>
  <si>
    <t>Заемные и привлеченные средства, всего</t>
  </si>
  <si>
    <t>в том числе:</t>
  </si>
  <si>
    <r>
      <t>кредиты банков (</t>
    </r>
    <r>
      <rPr>
        <i/>
        <sz val="12"/>
        <color indexed="10"/>
        <rFont val="Times New Roman"/>
        <family val="1"/>
        <charset val="204"/>
      </rPr>
      <t>укажите каких</t>
    </r>
    <r>
      <rPr>
        <i/>
        <sz val="12"/>
        <rFont val="Times New Roman"/>
        <family val="1"/>
        <charset val="204"/>
      </rPr>
      <t>)</t>
    </r>
  </si>
  <si>
    <r>
      <t>заемные средства других организаций (</t>
    </r>
    <r>
      <rPr>
        <i/>
        <sz val="12"/>
        <color indexed="10"/>
        <rFont val="Times New Roman"/>
        <family val="1"/>
        <charset val="204"/>
      </rPr>
      <t>укажите каких</t>
    </r>
    <r>
      <rPr>
        <i/>
        <sz val="12"/>
        <rFont val="Times New Roman"/>
        <family val="1"/>
        <charset val="204"/>
      </rPr>
      <t>)</t>
    </r>
  </si>
  <si>
    <t>ИТОГО</t>
  </si>
  <si>
    <t>Маркетинговые исследования, в т.ч. реклама</t>
  </si>
  <si>
    <t>Аренда помещений (офисных, производственных, складских)</t>
  </si>
  <si>
    <t>Оплата труда персонала</t>
  </si>
  <si>
    <t>Обучение персонала (командировки, проезд, стоимость курсов и др.)</t>
  </si>
  <si>
    <t>Собственные средства Инициатора Проекта</t>
  </si>
  <si>
    <t xml:space="preserve">ПОТРЕБНОСТЬ В ИНВЕСТИЦИЯХ </t>
  </si>
  <si>
    <t>1. "Потребность во внеоборотных активах (капитальные вложения)"</t>
  </si>
  <si>
    <t>2. "Потребность в оборотных активах (оборотный капитал)"</t>
  </si>
  <si>
    <t>3. "Прочие потребности (некапитализируемые расходы)"</t>
  </si>
  <si>
    <t>Наименование ресурса</t>
  </si>
  <si>
    <t>Амортизация</t>
  </si>
  <si>
    <r>
      <t>вклад в уставный капитал соучредителя(ей) или акционера(ов) (</t>
    </r>
    <r>
      <rPr>
        <i/>
        <sz val="12"/>
        <color indexed="10"/>
        <rFont val="Times New Roman"/>
        <family val="1"/>
        <charset val="204"/>
      </rPr>
      <t>укажите наименование и долю</t>
    </r>
    <r>
      <rPr>
        <i/>
        <sz val="12"/>
        <rFont val="Times New Roman"/>
        <family val="1"/>
        <charset val="204"/>
      </rPr>
      <t>)</t>
    </r>
  </si>
  <si>
    <r>
      <t>5.</t>
    </r>
    <r>
      <rPr>
        <b/>
        <sz val="12"/>
        <rFont val="Times New Roman"/>
        <family val="1"/>
        <charset val="204"/>
      </rPr>
      <t xml:space="preserve"> Внимание! </t>
    </r>
    <r>
      <rPr>
        <sz val="12"/>
        <rFont val="Times New Roman"/>
        <family val="1"/>
        <charset val="204"/>
      </rPr>
      <t xml:space="preserve">Необходимо заполнять только поля, выделенные </t>
    </r>
    <r>
      <rPr>
        <sz val="12"/>
        <color indexed="10"/>
        <rFont val="Times New Roman"/>
        <family val="1"/>
        <charset val="204"/>
      </rPr>
      <t>красным</t>
    </r>
    <r>
      <rPr>
        <sz val="12"/>
        <rFont val="Times New Roman"/>
        <family val="1"/>
        <charset val="204"/>
      </rPr>
      <t xml:space="preserve"> цветом. Поля, выделенные </t>
    </r>
    <r>
      <rPr>
        <sz val="12"/>
        <color indexed="12"/>
        <rFont val="Times New Roman"/>
        <family val="1"/>
        <charset val="204"/>
      </rPr>
      <t>синим</t>
    </r>
    <r>
      <rPr>
        <sz val="12"/>
        <rFont val="Times New Roman"/>
        <family val="1"/>
        <charset val="204"/>
      </rPr>
      <t xml:space="preserve"> цветом, заполняются по усмотрению. Поля, выделенные </t>
    </r>
    <r>
      <rPr>
        <b/>
        <sz val="12"/>
        <rFont val="Times New Roman"/>
        <family val="1"/>
        <charset val="204"/>
      </rPr>
      <t>черным</t>
    </r>
    <r>
      <rPr>
        <sz val="12"/>
        <rFont val="Times New Roman"/>
        <family val="1"/>
        <charset val="204"/>
      </rPr>
      <t xml:space="preserve"> цветом, изменять нельзя, чтобы не нарушить последующие расчеты.</t>
    </r>
  </si>
  <si>
    <r>
      <t xml:space="preserve">4. Если существует потребность в инвестициях в последующие годы, то заполните поля, выделенные </t>
    </r>
    <r>
      <rPr>
        <sz val="12"/>
        <color indexed="12"/>
        <rFont val="Times New Roman"/>
        <family val="1"/>
        <charset val="204"/>
      </rPr>
      <t>синим</t>
    </r>
    <r>
      <rPr>
        <sz val="12"/>
        <rFont val="Times New Roman"/>
        <family val="1"/>
        <charset val="204"/>
      </rPr>
      <t xml:space="preserve"> цветом. Если потребности не существует, то данные поля заполнять не надо.</t>
    </r>
  </si>
  <si>
    <r>
      <t xml:space="preserve">6. </t>
    </r>
    <r>
      <rPr>
        <b/>
        <sz val="12"/>
        <rFont val="Times New Roman"/>
        <family val="1"/>
        <charset val="204"/>
      </rPr>
      <t xml:space="preserve">Внимание! </t>
    </r>
    <r>
      <rPr>
        <sz val="12"/>
        <rFont val="Times New Roman"/>
        <family val="1"/>
        <charset val="204"/>
      </rPr>
      <t xml:space="preserve">Поля, выделенные </t>
    </r>
    <r>
      <rPr>
        <b/>
        <sz val="12"/>
        <rFont val="Times New Roman"/>
        <family val="1"/>
        <charset val="204"/>
      </rPr>
      <t>черным</t>
    </r>
    <r>
      <rPr>
        <sz val="12"/>
        <rFont val="Times New Roman"/>
        <family val="1"/>
        <charset val="204"/>
      </rPr>
      <t xml:space="preserve"> цветом, изменять нельзя, чтобы не нарушить последующие расчеты.</t>
    </r>
  </si>
  <si>
    <r>
      <t xml:space="preserve">3. </t>
    </r>
    <r>
      <rPr>
        <b/>
        <sz val="12"/>
        <rFont val="Times New Roman"/>
        <family val="1"/>
        <charset val="204"/>
      </rPr>
      <t>Внимание!</t>
    </r>
    <r>
      <rPr>
        <sz val="12"/>
        <rFont val="Times New Roman"/>
        <family val="1"/>
        <charset val="204"/>
      </rPr>
      <t xml:space="preserve"> Поля, выделенные </t>
    </r>
    <r>
      <rPr>
        <b/>
        <sz val="12"/>
        <rFont val="Times New Roman"/>
        <family val="1"/>
        <charset val="204"/>
      </rPr>
      <t>черным</t>
    </r>
    <r>
      <rPr>
        <sz val="12"/>
        <rFont val="Times New Roman"/>
        <family val="1"/>
        <charset val="204"/>
      </rPr>
      <t xml:space="preserve"> цветом, изменять нельзя, чтобы не нарушить последующие расчеты.</t>
    </r>
  </si>
  <si>
    <r>
      <t xml:space="preserve">3. Для начала финансовых расчетов наведите курсором на строку </t>
    </r>
    <r>
      <rPr>
        <u/>
        <sz val="12"/>
        <color theme="5" tint="-0.249977111117893"/>
        <rFont val="Times New Roman"/>
        <family val="1"/>
        <charset val="204"/>
      </rPr>
      <t>"Таблица 1. Потребность в инвестициях"</t>
    </r>
    <r>
      <rPr>
        <sz val="12"/>
        <rFont val="Times New Roman"/>
        <family val="1"/>
        <charset val="204"/>
      </rPr>
      <t xml:space="preserve"> и кликните мышкой. Заполните таблицу, используя прилагаемую к ней инструкцию.</t>
    </r>
  </si>
  <si>
    <t xml:space="preserve">5. Вручную введите период окупаемости проекта. Для этого по данным строки 3 определите, в какой момент времени (год) накопленное сальдо потока принимает положительное значение. Предыдущий год будет являться периодом окупаемости. Например, если данные строки 3 в 2014 г. составляют  -20, 2013 г. - - 5, 2014 г. - 5, 2015 г. - 20, 2016 г. - 40, то период окупаемости проекта составляет 2 года, поскольку именно в третьем году (2013) накопленное сальдо становится положительным, т.е. проект, окупив инвестиции в течение 2011-2012 гг., с 2013 г. начинает приносить чистый доход.                                           </t>
  </si>
  <si>
    <r>
      <t>Всего,</t>
    </r>
    <r>
      <rPr>
        <b/>
        <sz val="12"/>
        <rFont val="Times New Roman"/>
        <family val="1"/>
        <charset val="204"/>
      </rPr>
      <t xml:space="preserve"> руб</t>
    </r>
    <r>
      <rPr>
        <sz val="12"/>
        <rFont val="Times New Roman"/>
        <family val="1"/>
        <charset val="204"/>
      </rPr>
      <t>.</t>
    </r>
  </si>
  <si>
    <r>
      <t xml:space="preserve">Всего, </t>
    </r>
    <r>
      <rPr>
        <b/>
        <sz val="12"/>
        <rFont val="Times New Roman"/>
        <family val="1"/>
        <charset val="204"/>
      </rPr>
      <t>руб.</t>
    </r>
  </si>
  <si>
    <r>
      <t>Всего,</t>
    </r>
    <r>
      <rPr>
        <b/>
        <sz val="12"/>
        <rFont val="Times New Roman"/>
        <family val="1"/>
        <charset val="204"/>
      </rPr>
      <t xml:space="preserve"> руб.</t>
    </r>
  </si>
  <si>
    <t>Сумма, руб.</t>
  </si>
  <si>
    <t>руб.</t>
  </si>
  <si>
    <t>Сырье</t>
  </si>
  <si>
    <t>Материалы</t>
  </si>
  <si>
    <t>Тара</t>
  </si>
  <si>
    <t>Топливо на технологические нужды</t>
  </si>
  <si>
    <t>Вода на технологические нужды</t>
  </si>
  <si>
    <t>2. Обратите внимание, что по годам итог в таблице 1 должен быть равен итогу в таблице 2. Например, если в 2014 г. в проект привлекается 500  руб., то итог таблиц 1 и 2 в 2014 г. должен быть равен 500.</t>
  </si>
  <si>
    <t>1. Заполните поля, выделенные красным цветом, в соответствии с применяемой системой налогообложения. Например, если применяется упрощенная система налогообложения с начислением налога от суммы дохода, а действующая ставка налога составляет 6%, то в строке "по УСН (база - доходы)" необходимо поставить цифру "6". Если применяется общая система налогообложения , а действующая ставка налога на прибыль составляет 24%, то в строке "по ОСН (налог на прибыль)" необходимо поставить цифру "24". Если применяется система уплаты единого налога на вмененный доход, а сумма налога составляет 5  в квартал, то в строке "ЕНВД" необходимо поставить цифру "5".</t>
  </si>
  <si>
    <t xml:space="preserve">3. Необязательно заполнять данные по каждому виду актива. Достаточно в столбце "Наименование актива" указать номер и дату договора, а в столбце "Цена, руб." - его общую сумму. Например, в столбце "Наименование актива" можно указать "Оборудование по договору № 21 от 01.05.2011 г." или "Строительство базы по договору № 3 от 08.03.2011 г.". Тогда в столбце "Кол-во, шт." необходимо поставить цифру "1" (т.е. один договор), в столбце "Цена, руб." ввести общую сумму договора - "1000" (если сумма договора составляет 1000  руб.). Стоимость актива в столбце "Всего,  руб." будет рассчитана автоматически. Договоры необходимо приложить к проекту.  </t>
  </si>
  <si>
    <t>доля продукции Скамья</t>
  </si>
  <si>
    <t>доля продукцииТабуретка</t>
  </si>
  <si>
    <t>доля продукции Сундук</t>
  </si>
  <si>
    <t>доля продукции Кухонный шкаф</t>
  </si>
  <si>
    <t>доля продукции Кровать односпальная</t>
  </si>
  <si>
    <t>доля продукции Кровать двухспальная</t>
  </si>
  <si>
    <t>доля продукции Наличник дверной простой</t>
  </si>
  <si>
    <t>доля продукции Наличник дверной резной</t>
  </si>
  <si>
    <t>доля продукции Беседка</t>
  </si>
  <si>
    <t>доля продукции Плинтус</t>
  </si>
  <si>
    <t>доля продукции Наличник оконный простой</t>
  </si>
  <si>
    <t>доля продукции Наличник оконный резной</t>
  </si>
  <si>
    <t>доля продукции Балясина</t>
  </si>
  <si>
    <t>Поддержка муниципального района и муниципального образования</t>
  </si>
  <si>
    <t>по ЕСХН (база - доходы минус расходы)</t>
  </si>
  <si>
    <t>Сено</t>
  </si>
  <si>
    <t>ГСМ</t>
  </si>
  <si>
    <r>
      <t xml:space="preserve">Зарплата </t>
    </r>
    <r>
      <rPr>
        <b/>
        <sz val="10"/>
        <rFont val="Times New Roman"/>
        <family val="1"/>
        <charset val="204"/>
      </rPr>
      <t>в месяц, руб.</t>
    </r>
  </si>
  <si>
    <r>
      <t xml:space="preserve">Расходы на зарплату </t>
    </r>
    <r>
      <rPr>
        <b/>
        <sz val="10"/>
        <rFont val="Times New Roman"/>
        <family val="1"/>
        <charset val="204"/>
      </rPr>
      <t>в месяц, руб.</t>
    </r>
  </si>
  <si>
    <r>
      <t xml:space="preserve">1. Введите наименования должностей, зарплату в месяц и число работников по каждой должности в первый год реализации проекта. Эти поля выделены </t>
    </r>
    <r>
      <rPr>
        <sz val="10"/>
        <color indexed="10"/>
        <rFont val="Times New Roman"/>
        <family val="1"/>
        <charset val="204"/>
      </rPr>
      <t>красным</t>
    </r>
    <r>
      <rPr>
        <sz val="10"/>
        <rFont val="Times New Roman"/>
        <family val="1"/>
        <charset val="204"/>
      </rPr>
      <t xml:space="preserve"> цветом. </t>
    </r>
  </si>
  <si>
    <r>
      <t xml:space="preserve">2. Если в последующие годы в штатном расписании планируются изменения (например, увеличение штата работников), заполните поля, выделенные </t>
    </r>
    <r>
      <rPr>
        <sz val="10"/>
        <color indexed="12"/>
        <rFont val="Times New Roman"/>
        <family val="1"/>
        <charset val="204"/>
      </rPr>
      <t>синим</t>
    </r>
    <r>
      <rPr>
        <sz val="10"/>
        <rFont val="Times New Roman"/>
        <family val="1"/>
        <charset val="204"/>
      </rPr>
      <t xml:space="preserve"> цветом. Если изменений не планируется, данные поля заполнять не надо.</t>
    </r>
  </si>
  <si>
    <r>
      <t xml:space="preserve">3. В нижней части таблицы введите действующую ставку по отчислениям во внебюджетные фонды в первый год реализации проекта, выделенную </t>
    </r>
    <r>
      <rPr>
        <sz val="10"/>
        <color indexed="10"/>
        <rFont val="Times New Roman"/>
        <family val="1"/>
        <charset val="204"/>
      </rPr>
      <t>красным</t>
    </r>
    <r>
      <rPr>
        <sz val="10"/>
        <rFont val="Times New Roman"/>
        <family val="1"/>
        <charset val="204"/>
      </rPr>
      <t xml:space="preserve"> цветом. Если вам известно об изменении ставки в последующие годы, то заполните поля, выделенные </t>
    </r>
    <r>
      <rPr>
        <sz val="10"/>
        <color indexed="12"/>
        <rFont val="Times New Roman"/>
        <family val="1"/>
        <charset val="204"/>
      </rPr>
      <t>синим</t>
    </r>
    <r>
      <rPr>
        <sz val="10"/>
        <rFont val="Times New Roman"/>
        <family val="1"/>
        <charset val="204"/>
      </rPr>
      <t xml:space="preserve"> цветом, если неизвестно - данные поля заполнять не надо.</t>
    </r>
  </si>
  <si>
    <r>
      <t xml:space="preserve">4. Внимание! Не изменяйте поля, выделенные </t>
    </r>
    <r>
      <rPr>
        <b/>
        <sz val="10"/>
        <rFont val="Times New Roman"/>
        <family val="1"/>
        <charset val="204"/>
      </rPr>
      <t>черным</t>
    </r>
    <r>
      <rPr>
        <sz val="10"/>
        <rFont val="Times New Roman"/>
        <family val="1"/>
        <charset val="204"/>
      </rPr>
      <t xml:space="preserve"> цветом, не удаляйте незаполненные строки, иначе это нарушит последующие расчеты.</t>
    </r>
  </si>
  <si>
    <r>
      <t xml:space="preserve">ФОТ с отчислениями в </t>
    </r>
    <r>
      <rPr>
        <b/>
        <sz val="10"/>
        <rFont val="Times New Roman"/>
        <family val="1"/>
        <charset val="204"/>
      </rPr>
      <t>месяц, руб.</t>
    </r>
  </si>
  <si>
    <r>
      <t xml:space="preserve">Продолжительность работы в </t>
    </r>
    <r>
      <rPr>
        <b/>
        <sz val="10"/>
        <rFont val="Times New Roman"/>
        <family val="1"/>
        <charset val="204"/>
      </rPr>
      <t>год, мес.</t>
    </r>
  </si>
  <si>
    <r>
      <t>Количество работников,</t>
    </r>
    <r>
      <rPr>
        <b/>
        <sz val="10"/>
        <rFont val="Times New Roman"/>
        <family val="1"/>
        <charset val="204"/>
      </rPr>
      <t xml:space="preserve"> чел.</t>
    </r>
  </si>
  <si>
    <t>х</t>
  </si>
  <si>
    <t>по УСН (база - доходы минус расходы)</t>
  </si>
  <si>
    <t>тыс.руб.</t>
  </si>
  <si>
    <t>Показатели</t>
  </si>
  <si>
    <t>на начало года</t>
  </si>
  <si>
    <t>Январь</t>
  </si>
  <si>
    <t>Февраль</t>
  </si>
  <si>
    <t>Март</t>
  </si>
  <si>
    <t>Апрель</t>
  </si>
  <si>
    <t>Май</t>
  </si>
  <si>
    <t>Июнь</t>
  </si>
  <si>
    <t>Июль</t>
  </si>
  <si>
    <t>Август</t>
  </si>
  <si>
    <t>Сентябрь</t>
  </si>
  <si>
    <t>Октябрь</t>
  </si>
  <si>
    <t>Ноябрь</t>
  </si>
  <si>
    <t>Декабрь</t>
  </si>
  <si>
    <t xml:space="preserve">Итого </t>
  </si>
  <si>
    <t>Наименование</t>
  </si>
  <si>
    <t>гол</t>
  </si>
  <si>
    <t>из них племенных, гол.</t>
  </si>
  <si>
    <t>живая масса, т</t>
  </si>
  <si>
    <t>балансовая стоимость на начало года, тыс. руб.</t>
  </si>
  <si>
    <t xml:space="preserve">Быки-производители </t>
  </si>
  <si>
    <t>Приход</t>
  </si>
  <si>
    <t>на начало месяца</t>
  </si>
  <si>
    <t>перевод из др. групп, гол</t>
  </si>
  <si>
    <t>покупка племенного скота, гол.</t>
  </si>
  <si>
    <t>покупка пользовательского скота, гол.</t>
  </si>
  <si>
    <t>Расход</t>
  </si>
  <si>
    <t>перевод в другие группы, гол.</t>
  </si>
  <si>
    <t>реализация на мясо (снятие с откорма), гол.</t>
  </si>
  <si>
    <t>племпродажа, гол.</t>
  </si>
  <si>
    <t>прочее выбытие, гол.</t>
  </si>
  <si>
    <t>падеж, гол.</t>
  </si>
  <si>
    <t>кормодни</t>
  </si>
  <si>
    <t>Среднее поголовье</t>
  </si>
  <si>
    <t>Волы</t>
  </si>
  <si>
    <t>на начало года,  гол.</t>
  </si>
  <si>
    <t>Коровы</t>
  </si>
  <si>
    <t xml:space="preserve">Взрослый скот на откорме </t>
  </si>
  <si>
    <t>на начало месяца,  гол.</t>
  </si>
  <si>
    <t>Нетели</t>
  </si>
  <si>
    <t>Телки до 3-х лет.</t>
  </si>
  <si>
    <t>Телки до 2-х лет.</t>
  </si>
  <si>
    <t>Телки до 1 года.</t>
  </si>
  <si>
    <t>Бычки до 3 лет.</t>
  </si>
  <si>
    <t>Бычки до 2 лет.</t>
  </si>
  <si>
    <t>Бычки до 1 года.</t>
  </si>
  <si>
    <t>Телки рождения планируемого года</t>
  </si>
  <si>
    <t>приплод и перевод из др. групп, гол</t>
  </si>
  <si>
    <t>Бычок рождения планируемого года</t>
  </si>
  <si>
    <t>ИТОГО кормодни</t>
  </si>
  <si>
    <t>ИТОГО голов</t>
  </si>
  <si>
    <t>Цельное молоко</t>
  </si>
  <si>
    <t>Обрат</t>
  </si>
  <si>
    <t>Грубые</t>
  </si>
  <si>
    <t>Зеленые</t>
  </si>
  <si>
    <t>Сочные</t>
  </si>
  <si>
    <t>Концентрированные</t>
  </si>
  <si>
    <t>Соль</t>
  </si>
  <si>
    <t>Мел</t>
  </si>
  <si>
    <t>ДВИЖЕНИЕ ПОГОЛОВЬЯ КРС</t>
  </si>
  <si>
    <t>Виды и группы животных и птицы</t>
  </si>
  <si>
    <t>Наличие на начало года</t>
  </si>
  <si>
    <t>Наличие на конец года</t>
  </si>
  <si>
    <t>Среднегодовое поголовье, гол.</t>
  </si>
  <si>
    <t>Среднесуточный прирост живой массы 1 головы, г</t>
  </si>
  <si>
    <t>Прирост живой массы, т.</t>
  </si>
  <si>
    <t>Кормодни, ед.</t>
  </si>
  <si>
    <t>Условное поголовье</t>
  </si>
  <si>
    <t>голов</t>
  </si>
  <si>
    <t>Усредненный вес 1 гол. (ж.в) кг</t>
  </si>
  <si>
    <t>балансовая стоимость тыс. руб.</t>
  </si>
  <si>
    <t>живой приплод и перевод из других отделений</t>
  </si>
  <si>
    <t>покупка племенного скота</t>
  </si>
  <si>
    <t>покупка пользова-тельного скота</t>
  </si>
  <si>
    <t>перевод в другие отделения</t>
  </si>
  <si>
    <t>реализация на мясо (снятие с откорма)</t>
  </si>
  <si>
    <t>продажа племенного скота и птицы</t>
  </si>
  <si>
    <t>Прочее выбытие</t>
  </si>
  <si>
    <t>падеж</t>
  </si>
  <si>
    <t>из них племенных</t>
  </si>
  <si>
    <t>живая масса 1 гол., кг</t>
  </si>
  <si>
    <t>А</t>
  </si>
  <si>
    <t>КРС</t>
  </si>
  <si>
    <t>продажа, гол.</t>
  </si>
  <si>
    <t>Среднегодовое поголовье , гол.</t>
  </si>
  <si>
    <t>Всего кормов, кормоединиц</t>
  </si>
  <si>
    <t>Стоимость кормов тыс.руб.</t>
  </si>
  <si>
    <t>Затраты на приготовление кормов на кормокухнях, тыс.руб.</t>
  </si>
  <si>
    <t>Стоимость кормов - всего, тыс.руб.</t>
  </si>
  <si>
    <t>Конценраты</t>
  </si>
  <si>
    <t>на 1 гол., ц</t>
  </si>
  <si>
    <t>всего, т</t>
  </si>
  <si>
    <t>на 1 гол., т</t>
  </si>
  <si>
    <t>сумма, тыс.руб.</t>
  </si>
  <si>
    <t>на 1 гол.,т</t>
  </si>
  <si>
    <t>Молочное стадо крс (коровы и быки производители)</t>
  </si>
  <si>
    <t>Животные на выращивании и откорме</t>
  </si>
  <si>
    <t>тыс. руб.</t>
  </si>
  <si>
    <t>Электроэнергия и отопление</t>
  </si>
  <si>
    <t>Водоснабжение</t>
  </si>
  <si>
    <t>Налоги и сборы</t>
  </si>
  <si>
    <t>Кол-во</t>
  </si>
  <si>
    <t>Кормохранилище на 12-14 тонн</t>
  </si>
  <si>
    <t>Теплица специальная 2-х ярусная на 80 кв.м</t>
  </si>
  <si>
    <t>Сельхозтехника</t>
  </si>
  <si>
    <t>руб</t>
  </si>
  <si>
    <t>Молоко на выпойку</t>
  </si>
  <si>
    <t>Тракторист</t>
  </si>
  <si>
    <r>
      <t>ФОТ с отчислениями в</t>
    </r>
    <r>
      <rPr>
        <b/>
        <sz val="10"/>
        <rFont val="Times New Roman"/>
        <family val="1"/>
        <charset val="204"/>
      </rPr>
      <t xml:space="preserve"> год, тыс.руб.</t>
    </r>
  </si>
  <si>
    <t>Расходы на единицу продукции (услуг), тыс.руб.</t>
  </si>
  <si>
    <r>
      <t>Порог рентабельности,</t>
    </r>
    <r>
      <rPr>
        <b/>
        <sz val="12"/>
        <rFont val="Times New Roman"/>
        <family val="1"/>
        <charset val="204"/>
      </rPr>
      <t xml:space="preserve"> тыс.руб.</t>
    </r>
  </si>
  <si>
    <r>
      <t xml:space="preserve">Запас финансовой прочности, </t>
    </r>
    <r>
      <rPr>
        <b/>
        <sz val="12"/>
        <rFont val="Times New Roman"/>
        <family val="1"/>
        <charset val="204"/>
      </rPr>
      <t>тыс.руб.</t>
    </r>
  </si>
  <si>
    <t>ПОТРЕБНОСТЬ В КОРМАХ И ИХ СТОИМОСТЬ</t>
  </si>
  <si>
    <t>Сенаж</t>
  </si>
  <si>
    <t>Силос</t>
  </si>
  <si>
    <t>Расчет затрат на средства защиты животных КРС</t>
  </si>
  <si>
    <t>Наименование  диагност средств , биопрепаратов</t>
  </si>
  <si>
    <t>ед изм</t>
  </si>
  <si>
    <t>Затраты на 1 голову, руб</t>
  </si>
  <si>
    <t>Сибирская язва</t>
  </si>
  <si>
    <t>Параскаридоз</t>
  </si>
  <si>
    <t>Гастрофилез</t>
  </si>
  <si>
    <t>Взятие крви</t>
  </si>
  <si>
    <t>Ваксинация</t>
  </si>
  <si>
    <t>Спирт</t>
  </si>
  <si>
    <t>Шприц</t>
  </si>
  <si>
    <t>Лабораторные исслед</t>
  </si>
  <si>
    <t>Среднегодовое поголовье, гол</t>
  </si>
  <si>
    <t>Взятие крови</t>
  </si>
  <si>
    <t xml:space="preserve">ПЛАН О ФИНАНСОВОМ СОСТОЯНИИ </t>
  </si>
  <si>
    <t>(отчет о движении денежных средств)</t>
  </si>
  <si>
    <t>Всего:</t>
  </si>
  <si>
    <t>Доходы (сумма строк 1.1.-1.5.)</t>
  </si>
  <si>
    <t xml:space="preserve">Выручка от реализации с/х продукции из них: </t>
  </si>
  <si>
    <t>продукции животноводства всего</t>
  </si>
  <si>
    <t>-продажа живого скота (ж.в)</t>
  </si>
  <si>
    <t>1.2.</t>
  </si>
  <si>
    <t>1.3.</t>
  </si>
  <si>
    <t>1.4.</t>
  </si>
  <si>
    <t>1.5.</t>
  </si>
  <si>
    <t>Собственные средства</t>
  </si>
  <si>
    <t>2.1.</t>
  </si>
  <si>
    <t>Материальные расходы</t>
  </si>
  <si>
    <t>2.1.1.</t>
  </si>
  <si>
    <t>Корма</t>
  </si>
  <si>
    <t>2.1.2.</t>
  </si>
  <si>
    <t>2.1.3.</t>
  </si>
  <si>
    <t>Налоги</t>
  </si>
  <si>
    <t>2.1.4.</t>
  </si>
  <si>
    <t>2.1.5.</t>
  </si>
  <si>
    <t>Коммунальные платежи (свет, газ, вода)</t>
  </si>
  <si>
    <t>2.1.6.</t>
  </si>
  <si>
    <t>2.1.7.</t>
  </si>
  <si>
    <t>2.1.8.</t>
  </si>
  <si>
    <t>2.2.</t>
  </si>
  <si>
    <t>Оплата труда с отчислениями</t>
  </si>
  <si>
    <t>5.</t>
  </si>
  <si>
    <t>№ п/п</t>
  </si>
  <si>
    <t>Поток / Шаги расчетного периода:</t>
  </si>
  <si>
    <t>Нарашенный прибыль хозяйства</t>
  </si>
  <si>
    <t>Срок окупаемости проекта лет</t>
  </si>
  <si>
    <t>Выручка после выхода на проектную мощность</t>
  </si>
  <si>
    <t>6.</t>
  </si>
  <si>
    <t>Расходы после выхода на проектную мощность</t>
  </si>
  <si>
    <t>Сумма гранта СЖФ</t>
  </si>
  <si>
    <t>Заемные средства</t>
  </si>
  <si>
    <t>Выручка от реализации до выхода на проектную мощность</t>
  </si>
  <si>
    <t>Выручка от реализации после выхода на проектную мощность</t>
  </si>
  <si>
    <t>Расходы на покупку основных средств</t>
  </si>
  <si>
    <t>7.</t>
  </si>
  <si>
    <t>Затраты на производство и реализацию</t>
  </si>
  <si>
    <t>8.</t>
  </si>
  <si>
    <t>Итого расходы</t>
  </si>
  <si>
    <t>9.</t>
  </si>
  <si>
    <t xml:space="preserve">Прибыль </t>
  </si>
  <si>
    <t>10.</t>
  </si>
  <si>
    <t>Рентабельность</t>
  </si>
  <si>
    <t>Количество работников в КФХ, чел</t>
  </si>
  <si>
    <r>
      <t xml:space="preserve">Минимальный размер оплаты труда по Республике Саха (Якутия) солгасно ст.1 481-ФЗ от 25 декабря 2018 года с 01.01.2019 установлен в размере </t>
    </r>
    <r>
      <rPr>
        <b/>
        <sz val="10"/>
        <rFont val="Times New Roman"/>
        <family val="1"/>
        <charset val="204"/>
      </rPr>
      <t>11 280</t>
    </r>
    <r>
      <rPr>
        <sz val="10"/>
        <rFont val="Times New Roman"/>
        <family val="1"/>
        <charset val="204"/>
      </rPr>
      <t xml:space="preserve"> рублей с применением сверх него компенсационных выплат за работу в районах Крайнего Севера: районного коэффициента и процентных надбавок, но не ниже величины прожиточного минимума для трудоспособного населения в целом по Республике за III квартал предыдущего года
</t>
    </r>
  </si>
  <si>
    <t>Оплата труда</t>
  </si>
  <si>
    <t>Ветеринарные услуги</t>
  </si>
  <si>
    <t>Производство молока</t>
  </si>
  <si>
    <t>Приплод</t>
  </si>
  <si>
    <t>Привес</t>
  </si>
  <si>
    <t>Коэфф. перевода на усл. головы</t>
  </si>
  <si>
    <t xml:space="preserve">*К прочим затратам относятся виды затрат, которые не вошли в другие статьи: </t>
  </si>
  <si>
    <t xml:space="preserve">         Страхование сельскохозяйственных животных:затраты на страхование сельскохозяйственных животных определяется согласно договора страхования;</t>
  </si>
  <si>
    <t xml:space="preserve">         Затраты на приобретение специальной одежды, МБП;</t>
  </si>
  <si>
    <t xml:space="preserve">         Затраты на содержание сайылыка, строительство загонов, навесов и других сооружений некапитального характера</t>
  </si>
  <si>
    <t xml:space="preserve">         Затраты по искусственному осеменению</t>
  </si>
  <si>
    <t xml:space="preserve">         Расходы на служебные командировки и разъезды;</t>
  </si>
  <si>
    <t xml:space="preserve">         Канцелярские, типографские, почтово-телефонные расходы.</t>
  </si>
  <si>
    <t>Прочие расходы*</t>
  </si>
  <si>
    <t>прочие</t>
  </si>
  <si>
    <t>Фиксированные взносы</t>
  </si>
  <si>
    <t>Чистый доход (стр.3-стр.4-стр.5)</t>
  </si>
  <si>
    <t>Валовой доход (стр.1-стр.2.1.-стр.2.2.)</t>
  </si>
  <si>
    <t>Арендная плата</t>
  </si>
  <si>
    <t>Семена и посадочный материал</t>
  </si>
  <si>
    <t>Минеральные удобрения</t>
  </si>
  <si>
    <t>Органические удобрения</t>
  </si>
  <si>
    <t>Средства защиты растений</t>
  </si>
  <si>
    <t>Нефтепродукты</t>
  </si>
  <si>
    <t>ВСЕГО расходов, руб.</t>
  </si>
  <si>
    <t>Цена, руб.за ед.</t>
  </si>
  <si>
    <t>Всего, тыс.руб.</t>
  </si>
  <si>
    <t>Норма внесения, т/га</t>
  </si>
  <si>
    <t>ср цена ГСМ, руб.</t>
  </si>
  <si>
    <t>Многолетние на сено</t>
  </si>
  <si>
    <t>Всего по растениеводству</t>
  </si>
  <si>
    <t>Площадь, га</t>
  </si>
  <si>
    <t>Норма высева, т/га</t>
  </si>
  <si>
    <t>Цена, руб/т</t>
  </si>
  <si>
    <t>Сбор урожая</t>
  </si>
  <si>
    <t>с 1 га, ц</t>
  </si>
  <si>
    <t>Оплата труда, тыс.руб.</t>
  </si>
  <si>
    <t>Площадь, га,</t>
  </si>
  <si>
    <t>ЗАТРАТЫ НА ПРОИЗВОДСТВО КОРМОВ</t>
  </si>
  <si>
    <t>Затраты на ремонт, тыс.руб.</t>
  </si>
  <si>
    <t>Затраты на 1 т., тыс.руб.</t>
  </si>
  <si>
    <t>Прочие затраты, тыс.руб.</t>
  </si>
  <si>
    <t>расход ГСМ, л/га</t>
  </si>
  <si>
    <t>Семена</t>
  </si>
  <si>
    <t>Расходы на запчасти, ремонт</t>
  </si>
  <si>
    <t>Наименование товара, оказываемой услуги, выполняемых работ</t>
  </si>
  <si>
    <t>Общая стоимость</t>
  </si>
  <si>
    <t>Оплата стоимости (источники финансирования) за счет, (тыс. руб.):</t>
  </si>
  <si>
    <t>Разработка проектной документации на строительство, реконструкцию или модернизацию семейной животноводческой фермы</t>
  </si>
  <si>
    <t>Приобретение, строительство, реконструкция или модернизация семейной животноводческой фермы</t>
  </si>
  <si>
    <t>Приобретение, строительство, реконструкция или модернизация производственных объектов по переработке продукции животноводства</t>
  </si>
  <si>
    <t>Комплектация семейной животноводческой фермы и объектов по переработке животноводческой продукции оборудованием и техникой, а также их монтаж</t>
  </si>
  <si>
    <t>Приобретение сельскохозяйственных животных и птиц</t>
  </si>
  <si>
    <t>ПЛАН РАСХОДОВАНИЯ ГРАНТА</t>
  </si>
  <si>
    <t>Уплата кредита</t>
  </si>
  <si>
    <t>в том числе процентов</t>
  </si>
  <si>
    <t>Платеж</t>
  </si>
  <si>
    <t>дни</t>
  </si>
  <si>
    <t>%  ставка</t>
  </si>
  <si>
    <t>ВСЕГО к уплате, тыс.руб.</t>
  </si>
  <si>
    <t>Сумма кредита (займа)</t>
  </si>
  <si>
    <t>Выплаты по основному долгу кредита</t>
  </si>
  <si>
    <t>Уплата начисленных поцентов</t>
  </si>
  <si>
    <t>ГРАФИК ПЛАТЕЖЕЙ ПО КРЕДИТУ (ЗАЙМУ)</t>
  </si>
  <si>
    <t>ВСЕГО</t>
  </si>
  <si>
    <t>Соль поваренная</t>
  </si>
  <si>
    <t>Годовой расход кормов составлен на основе методического пособия "Система ведения сельского хозяйства в РС(Я) на период 2016-2020 годы"</t>
  </si>
  <si>
    <t>Количество работников рассчитано на основе Методического пособия по нормированию труда и материальных ресурсов для планирования и прогнозирования отраслей животноводства Республики Саха (Якутия) со справочным материалом. 2-е издание, переработанное и дополненное. Якутск 2011 г.</t>
  </si>
  <si>
    <t>Доходы от работы и услуги несельскохозяйственного характера</t>
  </si>
  <si>
    <t>Расчет себестоимости кормов</t>
  </si>
  <si>
    <t>Наименование таблицы</t>
  </si>
  <si>
    <t>Субсидии в форме грантов из ГБ РС(Я)</t>
  </si>
  <si>
    <t>Кредит, займы</t>
  </si>
  <si>
    <t>Клинический осмотр животных</t>
  </si>
  <si>
    <t>Обработка животного против паразитов</t>
  </si>
  <si>
    <t>Затраты на ветеринарные услуги</t>
  </si>
  <si>
    <t>Наименование ветеринарных услуг</t>
  </si>
  <si>
    <t>тыс.руб</t>
  </si>
  <si>
    <t>Величина налога, тыс.руб.</t>
  </si>
  <si>
    <t>Инвестиционные расходы</t>
  </si>
  <si>
    <t>Выручка от реализации без НДС</t>
  </si>
  <si>
    <t>Текущие расходы</t>
  </si>
  <si>
    <t>Сальдо денежных средств от операционной деятельности</t>
  </si>
  <si>
    <t>Выплаты части чистой прибыли соучредителю(ям)</t>
  </si>
  <si>
    <t>Выплата процентов по привлеченным кредитам и займам</t>
  </si>
  <si>
    <t>субсидия из Государственного бюджета</t>
  </si>
  <si>
    <t>Ветеринарные и лабораторные расходы при сдаче молока</t>
  </si>
  <si>
    <t>Годы</t>
  </si>
  <si>
    <t>Вид продукции:</t>
  </si>
  <si>
    <t>Показатели реализации</t>
  </si>
  <si>
    <t>Х</t>
  </si>
  <si>
    <t xml:space="preserve">         Х</t>
  </si>
  <si>
    <t>Объем производства, (ед.)</t>
  </si>
  <si>
    <t>Цена за единицу (руб., тыс.руб.)</t>
  </si>
  <si>
    <t>Объем реализации, (ед.)</t>
  </si>
  <si>
    <t>Цена реализации (руб./ед)</t>
  </si>
  <si>
    <t>Выручка от реализации (руб.)</t>
  </si>
  <si>
    <t>по кварталам 2019</t>
  </si>
  <si>
    <t>Планируемые доходы, в т.ч.:</t>
  </si>
  <si>
    <t>выручка от реализации продукции</t>
  </si>
  <si>
    <t>выручка от осуществления иных видов деятельности</t>
  </si>
  <si>
    <t>Должность</t>
  </si>
  <si>
    <t>Кол-во единиц</t>
  </si>
  <si>
    <t>Заработная плата в месяц (руб.)</t>
  </si>
  <si>
    <t>Начисления на заработную плату (руб.)</t>
  </si>
  <si>
    <t>Итого, в месяц</t>
  </si>
  <si>
    <t>Вид расходов</t>
  </si>
  <si>
    <t>Расходы на приобретение материально-технических ресурсов всего</t>
  </si>
  <si>
    <t>Сырье и материалы</t>
  </si>
  <si>
    <t>Строительство</t>
  </si>
  <si>
    <t>ГСМ и топливо</t>
  </si>
  <si>
    <t>……</t>
  </si>
  <si>
    <t>Расходы на оплату труда и отчисления на социальные нужды</t>
  </si>
  <si>
    <t>ИТОГО РАСХОДЫ</t>
  </si>
  <si>
    <t>Всего 2019 год</t>
  </si>
  <si>
    <t>Наименование показателей</t>
  </si>
  <si>
    <t>Значение показателей</t>
  </si>
  <si>
    <r>
      <t>Денежные средства на начал</t>
    </r>
    <r>
      <rPr>
        <sz val="11"/>
        <rFont val="Times New Roman"/>
        <family val="1"/>
        <charset val="204"/>
      </rPr>
      <t>о месяца (строка 4)</t>
    </r>
  </si>
  <si>
    <t>Планируемые поступления денежных средств всего (таб. 2.3 строка 1)</t>
  </si>
  <si>
    <t>Планируемые расходы по проекту, всего (табл. 2.6 строка 8)</t>
  </si>
  <si>
    <t>Денежные средства  на  конец  месяца (строка 1 +строка 2- строка 3)</t>
  </si>
  <si>
    <t>Чистая прибыль (доходы - расходы)</t>
  </si>
  <si>
    <t>Количество, (ед. изм.)</t>
  </si>
  <si>
    <t>Молоко</t>
  </si>
  <si>
    <t>Мясо</t>
  </si>
  <si>
    <t>т</t>
  </si>
  <si>
    <t>Мясо и субпродукты</t>
  </si>
  <si>
    <t>Молодняк в ж.в.</t>
  </si>
  <si>
    <t>Расходы на оплату  водо-, электропотребления, телефона</t>
  </si>
  <si>
    <t>Прочие расходы (расшифровать)</t>
  </si>
  <si>
    <t>Текущий ремонт сайылыков, изгородей загонов</t>
  </si>
  <si>
    <t>Исскуственное осеменение</t>
  </si>
  <si>
    <t>Расходы на приобретение спецодежды и МБП</t>
  </si>
  <si>
    <t>Командировочные, типографские и канцелярские</t>
  </si>
  <si>
    <t>Таблица 3</t>
  </si>
  <si>
    <t>Таблица 4</t>
  </si>
  <si>
    <t>Таблица 5</t>
  </si>
  <si>
    <t>Таблица 6</t>
  </si>
  <si>
    <t>Таблица 7</t>
  </si>
  <si>
    <t>Таблица 8</t>
  </si>
  <si>
    <t>Таблица 9</t>
  </si>
  <si>
    <t>Таблица 10</t>
  </si>
  <si>
    <t>Таблица 11</t>
  </si>
  <si>
    <t>Таблица 12</t>
  </si>
  <si>
    <t>Таблица 13</t>
  </si>
  <si>
    <t>Таблица 14</t>
  </si>
  <si>
    <t>Таблица 15</t>
  </si>
  <si>
    <t>Таблица 16</t>
  </si>
  <si>
    <t>Таблица 17</t>
  </si>
  <si>
    <t>Таблица 18</t>
  </si>
  <si>
    <t>Таблица 22</t>
  </si>
  <si>
    <t>Таблица 23</t>
  </si>
  <si>
    <t>Таблица 25</t>
  </si>
  <si>
    <t>Таблица 26</t>
  </si>
  <si>
    <t>Таблица 27</t>
  </si>
  <si>
    <t>Таблица 28</t>
  </si>
  <si>
    <t>Таблица 19. Ветеринарные и лабораторные расходы</t>
  </si>
  <si>
    <t>Таблица 1. План расходования гранта</t>
  </si>
  <si>
    <t>Таблица 2. Плановые производственные показатели</t>
  </si>
  <si>
    <t>Таблица 3-10. Движение поголовья скота</t>
  </si>
  <si>
    <t>Таблица 11-18. Потребность в кормах и их стоимость</t>
  </si>
  <si>
    <t>Таблица 20. Производственно-сбытовая программа проекта</t>
  </si>
  <si>
    <t>Таблица 21. Текущие расходы проекта</t>
  </si>
  <si>
    <t>Таблица 22. Потребность в производственных ресурсах</t>
  </si>
  <si>
    <t>Таблица 23. Расходы на оплату труда</t>
  </si>
  <si>
    <t>Таблица 24. Налоги</t>
  </si>
  <si>
    <t>Таблица 25 Финансовые результаты проекта</t>
  </si>
  <si>
    <t>Таблица 26. Баланс денежных средств</t>
  </si>
  <si>
    <t>Таблица 27. Безубыточность проекта</t>
  </si>
  <si>
    <t>Таблица 28. Коммерческая эффективность проекта</t>
  </si>
  <si>
    <t>Таблица 29. Бюджетная эффективность проекта</t>
  </si>
  <si>
    <t>Таблица 30. Движение денежных средств</t>
  </si>
  <si>
    <t>№</t>
  </si>
  <si>
    <t>в том числе по годам:</t>
  </si>
  <si>
    <t>Сумма уплаченных налоговых платежей (руб.)</t>
  </si>
  <si>
    <t>Повышение уровня занятости населения на: (чел.)</t>
  </si>
  <si>
    <t>Увеличение уровня заработной платы в СМП (руб./мес.)</t>
  </si>
  <si>
    <t>Жеребцы-произв</t>
  </si>
  <si>
    <t>Рабочие лошади</t>
  </si>
  <si>
    <t xml:space="preserve">Конематки </t>
  </si>
  <si>
    <t>Лошади на откорме</t>
  </si>
  <si>
    <t>Прочие жеребцы</t>
  </si>
  <si>
    <t>Жеребцы 3л</t>
  </si>
  <si>
    <t xml:space="preserve">Кобылы 3л </t>
  </si>
  <si>
    <t>Жеребцы 2л</t>
  </si>
  <si>
    <t>Кобылы 2л</t>
  </si>
  <si>
    <t>Жеребцы 1 г</t>
  </si>
  <si>
    <t>Кобылы 1 г</t>
  </si>
  <si>
    <t>Жеребцы тек.года рож</t>
  </si>
  <si>
    <t>Кобылы  тек.года рож</t>
  </si>
  <si>
    <t>Поголовье лошадей на конец года, гол</t>
  </si>
  <si>
    <t>ДВИЖЕНИЕ ПОГОЛОВЬЯ ЛОШАДЕЙ</t>
  </si>
  <si>
    <t>Грубые (сено)</t>
  </si>
  <si>
    <t>Коневод (осн.стадо)</t>
  </si>
  <si>
    <t>Коневод(молодняк)</t>
  </si>
  <si>
    <t>Прочие расходы (на ремонт, запчасти и т.п.)</t>
  </si>
  <si>
    <t>2.3.</t>
  </si>
  <si>
    <t>Расходы (сумма строк 2.1.-2.2.)</t>
  </si>
  <si>
    <t>Расходы по использованию средств проекта</t>
  </si>
  <si>
    <t>Таблица 24</t>
  </si>
  <si>
    <t>Затраты на 1 голову, тыс. руб.</t>
  </si>
  <si>
    <t xml:space="preserve">Выручка от реализации без НДС </t>
  </si>
  <si>
    <t xml:space="preserve">Текущие расходы </t>
  </si>
  <si>
    <t xml:space="preserve">Налоги </t>
  </si>
  <si>
    <t>Среднегодовое поголовье кобыл подлежащих удою, гол</t>
  </si>
  <si>
    <t>Валовый надой молока,тн</t>
  </si>
  <si>
    <t>-кумыс</t>
  </si>
  <si>
    <t>Среднегодовой удой на 1 кобылу, кг.</t>
  </si>
  <si>
    <t xml:space="preserve">-продукция переработки мяса </t>
  </si>
  <si>
    <t>Технолог</t>
  </si>
  <si>
    <t>-мясо и субпродукты</t>
  </si>
  <si>
    <t xml:space="preserve">Инвестиции в проект </t>
  </si>
  <si>
    <t xml:space="preserve">Доход от операционной деятельности </t>
  </si>
  <si>
    <t xml:space="preserve">Поступления в бюджет в виде налогов </t>
  </si>
  <si>
    <t xml:space="preserve">Расходы бюджета в виде гранта </t>
  </si>
  <si>
    <t>Собственных средств 40%</t>
  </si>
  <si>
    <t>Грант 60%</t>
  </si>
  <si>
    <t>Приобретение сельскохозяйственной техники</t>
  </si>
  <si>
    <t>Ветеринарные и лабораторные расходы</t>
  </si>
  <si>
    <t>Строительство коневодческой базы</t>
  </si>
  <si>
    <t>Строительство производственного объекта по переработке продукции животноводства</t>
  </si>
  <si>
    <t>Расходы на оплату  водо-, электро-</t>
  </si>
  <si>
    <t>потребления, телефона</t>
  </si>
  <si>
    <t>Прочие расходы</t>
  </si>
  <si>
    <t>(корм рабочего скота, связь, канцелярия и др.)</t>
  </si>
  <si>
    <t>Приложение № 1</t>
  </si>
  <si>
    <t>Приложение № 8</t>
  </si>
  <si>
    <t>Приложение № 9</t>
  </si>
  <si>
    <t>Приложение № 10</t>
  </si>
  <si>
    <t>Приложение № 11</t>
  </si>
  <si>
    <t>Приложение № 12</t>
  </si>
  <si>
    <t>Приложение № 13</t>
  </si>
  <si>
    <t>прочее выбытие</t>
  </si>
  <si>
    <t>РАСХОДЫ НА ВЕТЕРИНАРНЫЕ УСЛУГИ ЛОШАДЕЙ</t>
  </si>
  <si>
    <t>среднесуточный прирост, гр</t>
  </si>
  <si>
    <t>Фуражное зерно</t>
  </si>
  <si>
    <t>Фонд заработной платы с отчислениями, тыс. руб.</t>
  </si>
  <si>
    <t>Количество с/х животных всего на убой, гол</t>
  </si>
  <si>
    <t>ОБЪЕМ РЕАЛИЗАЦИИ ПРОДУКЦИИ ТАБУННОГО КОНЕВОДСТВА</t>
  </si>
  <si>
    <t>Выручка от реализации мяса, тыс.руб.</t>
  </si>
  <si>
    <t>Падеж лошадей, гол</t>
  </si>
  <si>
    <t>Деловой выход жеребят, %</t>
  </si>
  <si>
    <t>Деловой выход жеребят,гол</t>
  </si>
  <si>
    <t xml:space="preserve">     в том числе кобыл, гол</t>
  </si>
  <si>
    <t>Таблица</t>
  </si>
  <si>
    <t>Приобретение лошадей: всего, гол</t>
  </si>
  <si>
    <t xml:space="preserve">                                             в живом весе, тн</t>
  </si>
  <si>
    <t>Транспортные, в части подвоза кормов</t>
  </si>
  <si>
    <t>Итого прямые затраты</t>
  </si>
  <si>
    <t>ПРЯМЫЕ РАСХОДЫ НА ПРОИЗВОДСТВО ПРОДУКЦИИ ТАБУННОГО КОНЕВОДСТВА</t>
  </si>
  <si>
    <t>Наличие на конец</t>
  </si>
  <si>
    <t>среднее поголовье</t>
  </si>
  <si>
    <t>прирост живой массы, т</t>
  </si>
  <si>
    <t>усредненный вес 1 гол., кг</t>
  </si>
  <si>
    <t>баланс. стоимость, тыс. руб.</t>
  </si>
  <si>
    <t>живой приплод, перевод из др. групп</t>
  </si>
  <si>
    <t>покупка скота</t>
  </si>
  <si>
    <t>другие поступления</t>
  </si>
  <si>
    <t>переведено в др. группы</t>
  </si>
  <si>
    <t>гол.</t>
  </si>
  <si>
    <t>живая миасса 1 гол., кг</t>
  </si>
  <si>
    <t>2020 год</t>
  </si>
  <si>
    <t>2021 год</t>
  </si>
  <si>
    <t>2022 год</t>
  </si>
  <si>
    <t>2023 год</t>
  </si>
  <si>
    <t>2024 год</t>
  </si>
  <si>
    <t>2025 год</t>
  </si>
  <si>
    <t>Живой вес убойного контингента, тн</t>
  </si>
  <si>
    <t>ед. изм.</t>
  </si>
  <si>
    <t>Прочие корма</t>
  </si>
  <si>
    <t>Объем товарной продукции, т (80%)</t>
  </si>
  <si>
    <t>Объем реализации, т, ж.в. (80%)</t>
  </si>
  <si>
    <t>Скошено, га</t>
  </si>
  <si>
    <t>Урожайность 1 га, ц</t>
  </si>
  <si>
    <t>Валовый объем заготовки сена</t>
  </si>
  <si>
    <t>Производство кормов</t>
  </si>
  <si>
    <t>Держать на контроле среднесуточный прирост!</t>
  </si>
  <si>
    <t>Приложение 5</t>
  </si>
  <si>
    <t xml:space="preserve">Ежегодный рост заработной платы на </t>
  </si>
  <si>
    <t>2020 г.</t>
  </si>
  <si>
    <t>2025 г.</t>
  </si>
  <si>
    <t>Рост численности работников и размера ФОТ</t>
  </si>
  <si>
    <t>Доярка</t>
  </si>
  <si>
    <t>Профессии</t>
  </si>
  <si>
    <t>шт. ед.</t>
  </si>
  <si>
    <t>ФОТ, тыс. руб.</t>
  </si>
  <si>
    <t>Скотник-рабочий</t>
  </si>
  <si>
    <t>Средняя заработная плата, в месяц, руб.</t>
  </si>
  <si>
    <t>таблицу скопировать в основную часть</t>
  </si>
  <si>
    <t>Среднемесячная заработная плата, рублей</t>
  </si>
  <si>
    <t xml:space="preserve">ПЛАН ДОХОДОВ И РАСХОДОВ </t>
  </si>
  <si>
    <t>№пп</t>
  </si>
  <si>
    <t>Статьи</t>
  </si>
  <si>
    <t xml:space="preserve">Доходы </t>
  </si>
  <si>
    <t xml:space="preserve">Выручка от реализации продукции из них: </t>
  </si>
  <si>
    <t>1.1.1.</t>
  </si>
  <si>
    <t>Прямые расходы</t>
  </si>
  <si>
    <t>Общехозяйственные расходы</t>
  </si>
  <si>
    <t>2.2.1.</t>
  </si>
  <si>
    <t>2.2.2.</t>
  </si>
  <si>
    <t>поставить по данным хозяйства</t>
  </si>
  <si>
    <t>2.2.3.</t>
  </si>
  <si>
    <t>2.3.1.</t>
  </si>
  <si>
    <t>Погашение кредита (аннуитет)</t>
  </si>
  <si>
    <t>2.3.2.</t>
  </si>
  <si>
    <t>колчество членов кфх</t>
  </si>
  <si>
    <t>Прибыль до налогообложения</t>
  </si>
  <si>
    <t>заполнить!</t>
  </si>
  <si>
    <t>Сумма гранта РСЖФ</t>
  </si>
  <si>
    <t>Наращенная прибыль хозяйства</t>
  </si>
  <si>
    <t xml:space="preserve">   Табунное коневодство</t>
  </si>
  <si>
    <t xml:space="preserve">   Прочие виды деятельности</t>
  </si>
  <si>
    <t>1.1.2.</t>
  </si>
  <si>
    <t>Прочие доходы</t>
  </si>
  <si>
    <t>Чистая прибыль (стр.3-стр.4)</t>
  </si>
  <si>
    <t>Текущие расходы (стр.2.1+стр.2.2)</t>
  </si>
  <si>
    <t>ДВИЖЕНИЕ ДЕНЕЖНЫХ СРЕДСТВ</t>
  </si>
  <si>
    <t>Налоги и другие платежи</t>
  </si>
  <si>
    <t>кредиты банков</t>
  </si>
  <si>
    <t>сумма гранта</t>
  </si>
  <si>
    <t>Платежи по кредитам и займам</t>
  </si>
  <si>
    <t xml:space="preserve">Выручка от реализации </t>
  </si>
  <si>
    <t xml:space="preserve">Остаток денежных средств на конец периода </t>
  </si>
  <si>
    <t>в том числе по годам</t>
  </si>
  <si>
    <t>Созданные новые постоянные рабочие места</t>
  </si>
  <si>
    <t>Сумма уплаченных налоговых платежей (тыс. руб.)</t>
  </si>
  <si>
    <t>Приложение 6</t>
  </si>
  <si>
    <t>проц</t>
  </si>
  <si>
    <t>к уплате</t>
  </si>
  <si>
    <t>год</t>
  </si>
  <si>
    <t>Срок кредита (займа)</t>
  </si>
  <si>
    <t>лет</t>
  </si>
  <si>
    <t>%  ставка годовых</t>
  </si>
  <si>
    <t>Сумма кредита (займа), тыс. руб.</t>
  </si>
  <si>
    <t>Выплаты по основному долгу кредита, тыс. руб.</t>
  </si>
  <si>
    <t>Уплата начисленных процентов, тыс. руб.</t>
  </si>
  <si>
    <t>Расходы на содержание техники, объектов</t>
  </si>
  <si>
    <t>Коммунальные платежи (свет, газ)</t>
  </si>
  <si>
    <t>Приложение 1</t>
  </si>
  <si>
    <t>ПЛАН РАСХОДОВ НА РАЗВИТИЕ СЕМЕЙНОЙ ФЕРМЫ</t>
  </si>
  <si>
    <t>Общая стоимость проекта</t>
  </si>
  <si>
    <t xml:space="preserve">1. </t>
  </si>
  <si>
    <t>Сельскохозяйственные животные</t>
  </si>
  <si>
    <t>Сельскохозяйственная техника</t>
  </si>
  <si>
    <t xml:space="preserve">Прессподборщик, навесной </t>
  </si>
  <si>
    <t xml:space="preserve">Заемные средства (не более 10%) </t>
  </si>
  <si>
    <t>Оплата стоимости (источники финансирования) 
за счет:</t>
  </si>
  <si>
    <t>Гранта ( не более 80%)</t>
  </si>
  <si>
    <t>Собственных средств (не менее 10%)</t>
  </si>
  <si>
    <t xml:space="preserve">Объем производства прочей продукции коневодства, тонн </t>
  </si>
  <si>
    <t>Реализация продукции табунного коневодства, в живом весе, тн (товарность 80%)</t>
  </si>
  <si>
    <t>Приложение 2</t>
  </si>
  <si>
    <t xml:space="preserve">Приложение 3 </t>
  </si>
  <si>
    <t>Прочие корма собственного производства, т.</t>
  </si>
  <si>
    <t>Объем производства лошадей в ж.в., т</t>
  </si>
  <si>
    <t>Средняя цена реализации, руб./кг ж.в.</t>
  </si>
  <si>
    <t>Объем производства молока кобыльего, т</t>
  </si>
  <si>
    <t xml:space="preserve">Средняя цена реализации, руб./кг </t>
  </si>
  <si>
    <t>Приложение 4</t>
  </si>
  <si>
    <t xml:space="preserve"> </t>
  </si>
  <si>
    <t>ЗАПОЛНИТЬ выделенное данным цветом!!!</t>
  </si>
  <si>
    <t>Месяц, год осуществления расходов</t>
  </si>
  <si>
    <t>здесь и далее заполнить выделенное данным цветом!</t>
  </si>
  <si>
    <t>Деловой выход, %</t>
  </si>
  <si>
    <t>Заполнить таблицу!</t>
  </si>
  <si>
    <t>ПРИМЕРНЫЕ КОРМОДНИ ( перевод, забой -ноябрь)</t>
  </si>
  <si>
    <t>Страховые взносы, руб.</t>
  </si>
  <si>
    <t>в  том числе ФСС травматизм</t>
  </si>
  <si>
    <t>Ставка начислений на зарплату (тарифы страховых взносов),%</t>
  </si>
  <si>
    <t>МРОТ по РФ, руб.</t>
  </si>
  <si>
    <t>Сальдо прибыли и суммы гранта</t>
  </si>
  <si>
    <t>Средний уровень заработной платы в КФХ, руб/мес</t>
  </si>
  <si>
    <t>ПЛАНОВЫЕ ПРОИЗВОДСТВЕННЫЕ ПОКАЗАТЕЛИ ТАБУННОГО КОНЕВОДСТВА НА 2020-2025 гг.</t>
  </si>
  <si>
    <t>Прочие прямые* (5% затрат)</t>
  </si>
  <si>
    <t>Прочие ОХР (организация и управление)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</si>
</sst>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7" formatCode="#,##0.00&quot;р.&quot;;\-#,##0.00&quot;р.&quot;"/>
    <numFmt numFmtId="41" formatCode="_-* #,##0_р_._-;\-* #,##0_р_._-;_-* &quot;-&quot;_р_._-;_-@_-"/>
    <numFmt numFmtId="44" formatCode="_-* #,##0.00&quot;р.&quot;_-;\-* #,##0.00&quot;р.&quot;_-;_-* &quot;-&quot;??&quot;р.&quot;_-;_-@_-"/>
    <numFmt numFmtId="43" formatCode="_-* #,##0.00_р_._-;\-* #,##0.00_р_._-;_-* &quot;-&quot;??_р_._-;_-@_-"/>
    <numFmt numFmtId="164" formatCode="_-* #,##0.00\ _₽_-;\-* #,##0.00\ _₽_-;_-* &quot;-&quot;??\ _₽_-;_-@_-"/>
    <numFmt numFmtId="165" formatCode="_-* #,##0\ _р_._-;\-* #,##0\ _р_._-;_-* &quot;-&quot;\ _р_._-;_-@_-"/>
    <numFmt numFmtId="166" formatCode="_-* #,##0.00\ _р_._-;\-* #,##0.00\ _р_._-;_-* &quot;-&quot;??\ _р_._-;_-@_-"/>
    <numFmt numFmtId="167" formatCode="#,##0.0"/>
    <numFmt numFmtId="168" formatCode="#,##0.000"/>
    <numFmt numFmtId="169" formatCode="#,##0.00_ ;[Red]\-#,##0.00\ "/>
    <numFmt numFmtId="170" formatCode="0.0%"/>
    <numFmt numFmtId="171" formatCode="#,##0.0;\(#,##0.0\)"/>
    <numFmt numFmtId="172" formatCode="0.000000"/>
    <numFmt numFmtId="173" formatCode="#,##0.0_);\(#,##0.0\)"/>
    <numFmt numFmtId="174" formatCode="mmmm\ yyyy"/>
    <numFmt numFmtId="175" formatCode="d"/>
    <numFmt numFmtId="176" formatCode="_(&quot;$&quot;* #,##0_);_(&quot;$&quot;* \(#,##0\);_(&quot;$&quot;* &quot;-&quot;_);_(@_)"/>
    <numFmt numFmtId="177" formatCode="#.##0\.00"/>
    <numFmt numFmtId="178" formatCode="#\.00"/>
    <numFmt numFmtId="179" formatCode="\$#\.00"/>
    <numFmt numFmtId="180" formatCode="_-* #,##0\ &quot;руб&quot;_-;\-* #,##0\ &quot;руб&quot;_-;_-* &quot;-&quot;\ &quot;руб&quot;_-;_-@_-"/>
    <numFmt numFmtId="181" formatCode="0.0"/>
    <numFmt numFmtId="182" formatCode="0_)"/>
    <numFmt numFmtId="183" formatCode="_(* #,##0.0_);_(* \(#,##0.0\);_(* &quot;-&quot;??_);_(@_)"/>
    <numFmt numFmtId="184" formatCode="_(* #,##0.0_);_(* \(#,##0.0\);_(* &quot;--- &quot;_)"/>
    <numFmt numFmtId="185" formatCode="0.00\ "/>
    <numFmt numFmtId="186" formatCode="&quot;$&quot;#,##0_);\(&quot;$&quot;#,##0\)"/>
    <numFmt numFmtId="187" formatCode="&quot;£&quot;#,##0_);\(&quot;£&quot;#,##0\)"/>
    <numFmt numFmtId="188" formatCode="General_)"/>
    <numFmt numFmtId="189" formatCode="#,##0;\-#,##0;&quot;N/A&quot;"/>
    <numFmt numFmtId="190" formatCode="#,##0_%_);\(#,##0\)_%;#,##0_%_);@_%_)"/>
    <numFmt numFmtId="191" formatCode="* \(#,##0\);* #,##0_);&quot;-&quot;??_);@"/>
    <numFmt numFmtId="192" formatCode="0.0%;\(0.0%\)"/>
    <numFmt numFmtId="193" formatCode="&quot;$&quot;#,##0.00_);[Red]\(&quot;$&quot;#,##0.00\)"/>
    <numFmt numFmtId="194" formatCode="\$#,##0\ ;\(\$#,##0\)"/>
    <numFmt numFmtId="195" formatCode="&quot;Stock&quot;_%_);;&quot;Asset&quot;_%_)"/>
    <numFmt numFmtId="196" formatCode="d/m/yy;@"/>
    <numFmt numFmtId="197" formatCode="* #,##0_);* \(#,##0\);&quot;-&quot;??_);@"/>
    <numFmt numFmtId="198" formatCode="_-* #,##0_-;\-* #,##0_-;_-* &quot;-&quot;_-;_-@_-"/>
    <numFmt numFmtId="199" formatCode="_(* #,##0.00_);_(* \(#,##0.00\);_(* &quot;-&quot;??_);_(@_)"/>
    <numFmt numFmtId="200" formatCode="_(* #,##0_);[Red]_(* \(#,##0\);_(* &quot;-&quot;??_);_(@_)"/>
    <numFmt numFmtId="201" formatCode="_-* #,##0.00[$€]_-;\-* #,##0.00[$€]_-;_-* \-??[$€]_-;_-@_-"/>
    <numFmt numFmtId="202" formatCode="#,##0.0_)\ \ ;\(#,##0.0\)\ \ "/>
    <numFmt numFmtId="203" formatCode="\ #,##0.0_);\(#,##0.0\)"/>
    <numFmt numFmtId="204" formatCode="0.00\ ;\-0.00\ ;&quot;- &quot;"/>
    <numFmt numFmtId="205" formatCode="&quot;$&quot;#,##0.0_);\(&quot;$&quot;#,##0.0\)"/>
    <numFmt numFmtId="206" formatCode="&quot;Asset&quot;_%_);;&quot;Stock&quot;_%_)"/>
    <numFmt numFmtId="207" formatCode="0.0_x_)_);&quot;NM&quot;_x_)_);0.0_x_)_);@_%_)"/>
    <numFmt numFmtId="208" formatCode="#,##0_%_);\(#,##0\)_%;**;@_%_)"/>
    <numFmt numFmtId="209" formatCode="#,##0.0##;[Red]\-#,##0.0##"/>
    <numFmt numFmtId="210" formatCode="#,##0%_);\(#,##0%\)"/>
    <numFmt numFmtId="211" formatCode="#,##0__\ \ \ \ "/>
    <numFmt numFmtId="212" formatCode="_-* #,##0\ &quot;F&quot;_-;\-* #,##0\ &quot;F&quot;_-;_-* &quot;-&quot;\ &quot;F&quot;_-;_-@_-"/>
    <numFmt numFmtId="213" formatCode="_-* #,##0.00\ &quot;F&quot;_-;\-* #,##0.00\ &quot;F&quot;_-;_-* &quot;-&quot;??\ &quot;F&quot;_-;_-@_-"/>
    <numFmt numFmtId="214" formatCode="mmm\-yyyy"/>
    <numFmt numFmtId="215" formatCode="0.0\ \x;&quot;NM &quot;"/>
    <numFmt numFmtId="216" formatCode="&quot;End&quot;_%_);&quot;Beg&quot;_%_);&quot;Avg&quot;_%_)"/>
    <numFmt numFmtId="217" formatCode="0.0\x_);\(0.0_)"/>
    <numFmt numFmtId="218" formatCode="#.0;#.0;;@"/>
    <numFmt numFmtId="219" formatCode="0.0%;0.0%;;@"/>
    <numFmt numFmtId="220" formatCode="0.00\x_)_);&quot;NM&quot;_x_)_);0.00\x_)_);@_%_)"/>
    <numFmt numFmtId="221" formatCode="_(* #,##0.0_);_(* \(#,##0.0\);_(* &quot;-&quot;?_);_(@_)"/>
    <numFmt numFmtId="222" formatCode="#,##0_);[Red]\(#,##0\);&quot;-----&quot;"/>
    <numFmt numFmtId="223" formatCode="#,##0.00_);[Red]\(#,##0.00\);&quot;-----&quot;"/>
    <numFmt numFmtId="224" formatCode="&quot;No&quot;;&quot;Yes&quot;"/>
    <numFmt numFmtId="225" formatCode="#,##0.00;\(#,##0.00\);\-"/>
    <numFmt numFmtId="226" formatCode="_-* #,##0\ _d_._-;\-* #,##0\ _d_._-;_-* &quot;-&quot;\ _d_._-;_-@_-"/>
    <numFmt numFmtId="227" formatCode="_-* #,##0.00\ _d_._-;\-* #,##0.00\ _d_._-;_-* &quot;-&quot;??\ _d_._-;_-@_-"/>
    <numFmt numFmtId="228" formatCode="_-* #,##0\ _đ_._-;\-* #,##0\ _đ_._-;_-* &quot;-&quot;\ _đ_._-;_-@_-"/>
    <numFmt numFmtId="229" formatCode="_-* #,##0.00\ _đ_._-;\-* #,##0.00\ _đ_._-;_-* &quot;-&quot;??\ _đ_._-;_-@_-"/>
    <numFmt numFmtId="230" formatCode="_(* #,##0_);_(* \(#,##0\);_(* &quot;-&quot;_);_(@_)"/>
    <numFmt numFmtId="231" formatCode="_-* #,##0.00_-;\-* #,##0.00_-;_-* &quot;-&quot;??_-;_-@_-"/>
    <numFmt numFmtId="232" formatCode="\+0.0;\-0.0"/>
    <numFmt numFmtId="233" formatCode="#,##0______;;&quot;------------      &quot;"/>
    <numFmt numFmtId="234" formatCode="#,##0.00\ \x_);[Red]\(#,##0.00\)\x"/>
    <numFmt numFmtId="235" formatCode="mmm\ dd\,\ yyyy"/>
    <numFmt numFmtId="236" formatCode="0.00_)"/>
    <numFmt numFmtId="237" formatCode="0_);\-0_);\-_);@_)"/>
    <numFmt numFmtId="238" formatCode="#,##0__"/>
    <numFmt numFmtId="239" formatCode="_-* #,##0_?_._-;\-* #,##0_?_._-;_-* &quot;-&quot;_?_._-;_-@_-"/>
    <numFmt numFmtId="240" formatCode="\ &quot;£&quot;#,##0.00_);\(&quot;£&quot;#,##0.00\)"/>
    <numFmt numFmtId="241" formatCode="_-* #,##0.00&quot;?.&quot;_-;\-* #,##0.00&quot;?.&quot;_-;_-* &quot;-&quot;??&quot;?.&quot;_-;_-@_-"/>
    <numFmt numFmtId="242" formatCode="#,##0.00\x_);\(#,##0.00\x\)"/>
    <numFmt numFmtId="243" formatCode="0.0_)"/>
    <numFmt numFmtId="244" formatCode="&quot;¥&quot;#,##0_);\(&quot;¥&quot;#,##0\)"/>
    <numFmt numFmtId="245" formatCode="0.000"/>
    <numFmt numFmtId="246" formatCode="_-* #,##0.0_р_._-;\-* #,##0.0_р_._-;_-* \-??_р_._-;_-@_-"/>
    <numFmt numFmtId="247" formatCode="_(* #,##0_);_(* \(#,##0\);_(* &quot;-&quot;??_);_(@_)"/>
    <numFmt numFmtId="248" formatCode="0.000%"/>
    <numFmt numFmtId="249" formatCode="%#\.00"/>
  </numFmts>
  <fonts count="313">
    <font>
      <sz val="10"/>
      <name val="Arial Cyr"/>
      <charset val="204"/>
    </font>
    <font>
      <sz val="12"/>
      <color theme="1"/>
      <name val="Times New Roman"/>
      <family val="2"/>
      <charset val="204"/>
    </font>
    <font>
      <sz val="12"/>
      <name val="Times New Roman"/>
      <family val="1"/>
      <charset val="204"/>
    </font>
    <font>
      <b/>
      <sz val="12"/>
      <name val="Times New Roman"/>
      <family val="1"/>
      <charset val="204"/>
    </font>
    <font>
      <b/>
      <i/>
      <sz val="12"/>
      <name val="Times New Roman"/>
      <family val="1"/>
      <charset val="204"/>
    </font>
    <font>
      <sz val="12"/>
      <color indexed="10"/>
      <name val="Times New Roman"/>
      <family val="1"/>
      <charset val="204"/>
    </font>
    <font>
      <sz val="8"/>
      <name val="Arial Cyr"/>
      <charset val="204"/>
    </font>
    <font>
      <i/>
      <sz val="12"/>
      <name val="Times New Roman"/>
      <family val="1"/>
      <charset val="204"/>
    </font>
    <font>
      <sz val="14"/>
      <name val="Times New Roman"/>
      <family val="1"/>
      <charset val="204"/>
    </font>
    <font>
      <u/>
      <sz val="10"/>
      <color indexed="12"/>
      <name val="Arial Cyr"/>
      <charset val="204"/>
    </font>
    <font>
      <b/>
      <i/>
      <sz val="12"/>
      <color indexed="10"/>
      <name val="Times New Roman"/>
      <family val="1"/>
      <charset val="204"/>
    </font>
    <font>
      <b/>
      <i/>
      <sz val="10"/>
      <name val="Arial Cyr"/>
      <charset val="204"/>
    </font>
    <font>
      <i/>
      <sz val="10"/>
      <name val="Arial Cyr"/>
      <charset val="204"/>
    </font>
    <font>
      <i/>
      <sz val="10"/>
      <name val="Times New Roman"/>
      <family val="1"/>
      <charset val="204"/>
    </font>
    <font>
      <i/>
      <sz val="10"/>
      <color indexed="10"/>
      <name val="Times New Roman"/>
      <family val="1"/>
      <charset val="204"/>
    </font>
    <font>
      <sz val="12"/>
      <color indexed="12"/>
      <name val="Times New Roman"/>
      <family val="1"/>
      <charset val="204"/>
    </font>
    <font>
      <u/>
      <sz val="12"/>
      <name val="Times New Roman"/>
      <family val="1"/>
      <charset val="204"/>
    </font>
    <font>
      <b/>
      <sz val="10"/>
      <name val="Arial Cyr"/>
      <charset val="204"/>
    </font>
    <font>
      <u/>
      <sz val="18"/>
      <color indexed="12"/>
      <name val="Times New Roman"/>
      <family val="1"/>
      <charset val="204"/>
    </font>
    <font>
      <sz val="10"/>
      <name val="Arial Cyr"/>
      <charset val="204"/>
    </font>
    <font>
      <i/>
      <sz val="11"/>
      <name val="Times New Roman"/>
      <family val="1"/>
      <charset val="204"/>
    </font>
    <font>
      <sz val="12"/>
      <name val="Arial Cyr"/>
      <charset val="204"/>
    </font>
    <font>
      <b/>
      <sz val="12"/>
      <name val="Arial Cyr"/>
      <charset val="204"/>
    </font>
    <font>
      <sz val="11"/>
      <name val="Times New Roman"/>
      <family val="1"/>
      <charset val="204"/>
    </font>
    <font>
      <sz val="10"/>
      <name val="Times New Roman"/>
      <family val="1"/>
      <charset val="204"/>
    </font>
    <font>
      <b/>
      <sz val="11"/>
      <name val="Times New Roman"/>
      <family val="1"/>
      <charset val="204"/>
    </font>
    <font>
      <sz val="11"/>
      <name val="Arial Cyr"/>
      <charset val="204"/>
    </font>
    <font>
      <sz val="12"/>
      <color indexed="8"/>
      <name val="Times New Roman"/>
      <family val="1"/>
      <charset val="204"/>
    </font>
    <font>
      <u/>
      <sz val="12"/>
      <color indexed="12"/>
      <name val="Times New Roman"/>
      <family val="1"/>
      <charset val="204"/>
    </font>
    <font>
      <i/>
      <sz val="12"/>
      <color indexed="10"/>
      <name val="Times New Roman"/>
      <family val="1"/>
      <charset val="204"/>
    </font>
    <font>
      <b/>
      <sz val="12"/>
      <color indexed="10"/>
      <name val="Times New Roman"/>
      <family val="1"/>
      <charset val="204"/>
    </font>
    <font>
      <sz val="10"/>
      <color indexed="10"/>
      <name val="Times New Roman"/>
      <family val="1"/>
      <charset val="204"/>
    </font>
    <font>
      <sz val="12"/>
      <color indexed="11"/>
      <name val="Times New Roman"/>
      <family val="1"/>
      <charset val="204"/>
    </font>
    <font>
      <b/>
      <sz val="12"/>
      <color indexed="12"/>
      <name val="Times New Roman"/>
      <family val="1"/>
      <charset val="204"/>
    </font>
    <font>
      <b/>
      <sz val="10"/>
      <color indexed="10"/>
      <name val="Times New Roman"/>
      <family val="1"/>
      <charset val="204"/>
    </font>
    <font>
      <b/>
      <sz val="10"/>
      <color indexed="12"/>
      <name val="Times New Roman"/>
      <family val="1"/>
      <charset val="204"/>
    </font>
    <font>
      <u/>
      <sz val="16"/>
      <color theme="5" tint="-0.249977111117893"/>
      <name val="Times New Roman"/>
      <family val="1"/>
      <charset val="204"/>
    </font>
    <font>
      <u/>
      <sz val="16"/>
      <color theme="5" tint="-0.249977111117893"/>
      <name val="Arial Cyr"/>
      <charset val="204"/>
    </font>
    <font>
      <sz val="10"/>
      <color theme="5" tint="-0.249977111117893"/>
      <name val="Arial Cyr"/>
      <charset val="204"/>
    </font>
    <font>
      <sz val="11"/>
      <color theme="5" tint="-0.249977111117893"/>
      <name val="Arial Cyr"/>
      <charset val="204"/>
    </font>
    <font>
      <sz val="12"/>
      <color theme="5" tint="-0.249977111117893"/>
      <name val="Times New Roman"/>
      <family val="1"/>
      <charset val="204"/>
    </font>
    <font>
      <u/>
      <sz val="12"/>
      <color theme="5" tint="-0.249977111117893"/>
      <name val="Times New Roman"/>
      <family val="1"/>
      <charset val="204"/>
    </font>
    <font>
      <b/>
      <sz val="10"/>
      <name val="Times New Roman"/>
      <family val="1"/>
      <charset val="204"/>
    </font>
    <font>
      <sz val="10"/>
      <color theme="1"/>
      <name val="Times New Roman"/>
      <family val="1"/>
      <charset val="204"/>
    </font>
    <font>
      <b/>
      <i/>
      <sz val="10"/>
      <name val="Times New Roman"/>
      <family val="1"/>
      <charset val="204"/>
    </font>
    <font>
      <u/>
      <sz val="10"/>
      <color theme="5" tint="-0.249977111117893"/>
      <name val="Times New Roman"/>
      <family val="1"/>
      <charset val="204"/>
    </font>
    <font>
      <sz val="10"/>
      <color indexed="12"/>
      <name val="Times New Roman"/>
      <family val="1"/>
      <charset val="204"/>
    </font>
    <font>
      <sz val="8"/>
      <name val="Times New Roman"/>
      <family val="1"/>
      <charset val="204"/>
    </font>
    <font>
      <sz val="8"/>
      <color indexed="12"/>
      <name val="Arial"/>
      <family val="2"/>
    </font>
    <font>
      <sz val="10"/>
      <name val="Arial"/>
      <family val="2"/>
      <charset val="204"/>
    </font>
    <font>
      <sz val="8"/>
      <name val="Palatino"/>
      <family val="1"/>
    </font>
    <font>
      <sz val="10"/>
      <name val="Helv"/>
    </font>
    <font>
      <sz val="10"/>
      <name val="Arial"/>
      <family val="2"/>
    </font>
    <font>
      <sz val="10"/>
      <name val="Helv"/>
      <charset val="204"/>
    </font>
    <font>
      <sz val="10"/>
      <name val="Courier"/>
      <family val="3"/>
    </font>
    <font>
      <sz val="10"/>
      <name val="Arial Cyr"/>
      <family val="2"/>
      <charset val="204"/>
    </font>
    <font>
      <sz val="8"/>
      <name val="Arial"/>
      <family val="2"/>
    </font>
    <font>
      <sz val="1"/>
      <color indexed="8"/>
      <name val="Courier"/>
      <family val="3"/>
    </font>
    <font>
      <b/>
      <sz val="1"/>
      <color indexed="8"/>
      <name val="Courier"/>
      <family val="3"/>
    </font>
    <font>
      <sz val="10"/>
      <name val="MS Sans Serif"/>
      <family val="2"/>
      <charset val="204"/>
    </font>
    <font>
      <sz val="10"/>
      <name val="MS Sans Serif"/>
      <family val="2"/>
    </font>
    <font>
      <sz val="8"/>
      <name val="Arial"/>
      <family val="2"/>
      <charset val="204"/>
    </font>
    <font>
      <sz val="10"/>
      <name val="Arial Cyr"/>
    </font>
    <font>
      <b/>
      <sz val="12"/>
      <name val="Times New Roman"/>
      <family val="1"/>
    </font>
    <font>
      <sz val="11"/>
      <color indexed="8"/>
      <name val="Calibri"/>
      <family val="2"/>
      <charset val="204"/>
    </font>
    <font>
      <sz val="11"/>
      <color indexed="9"/>
      <name val="Calibri"/>
      <family val="2"/>
      <charset val="204"/>
    </font>
    <font>
      <sz val="12"/>
      <name val="Arial MT"/>
    </font>
    <font>
      <sz val="8"/>
      <name val="Helv"/>
      <charset val="204"/>
    </font>
    <font>
      <sz val="11"/>
      <name val="Arial"/>
      <family val="2"/>
    </font>
    <font>
      <sz val="9"/>
      <name val="Times New Roman"/>
      <family val="1"/>
    </font>
    <font>
      <sz val="9"/>
      <name val="Times New Roman"/>
      <family val="1"/>
      <charset val="204"/>
    </font>
    <font>
      <sz val="8"/>
      <color indexed="12"/>
      <name val="Arial"/>
      <family val="2"/>
      <charset val="204"/>
    </font>
    <font>
      <i/>
      <sz val="8"/>
      <color indexed="16"/>
      <name val="Arial"/>
      <family val="2"/>
    </font>
    <font>
      <i/>
      <sz val="8"/>
      <color indexed="54"/>
      <name val="Arial"/>
      <family val="2"/>
    </font>
    <font>
      <i/>
      <sz val="8"/>
      <color indexed="54"/>
      <name val="Arial"/>
      <family val="2"/>
      <charset val="204"/>
    </font>
    <font>
      <i/>
      <sz val="8"/>
      <color indexed="16"/>
      <name val="Arial"/>
      <family val="2"/>
      <charset val="204"/>
    </font>
    <font>
      <i/>
      <sz val="9"/>
      <color indexed="16"/>
      <name val="Arial"/>
      <family val="2"/>
    </font>
    <font>
      <i/>
      <sz val="9"/>
      <color indexed="16"/>
      <name val="Arial"/>
      <family val="2"/>
      <charset val="204"/>
    </font>
    <font>
      <b/>
      <sz val="11"/>
      <name val="Arial"/>
      <family val="2"/>
    </font>
    <font>
      <b/>
      <sz val="11"/>
      <name val="Arial"/>
      <family val="2"/>
      <charset val="204"/>
    </font>
    <font>
      <b/>
      <sz val="9"/>
      <name val="Arial"/>
      <family val="2"/>
    </font>
    <font>
      <b/>
      <sz val="9"/>
      <name val="Arial"/>
      <family val="2"/>
      <charset val="204"/>
    </font>
    <font>
      <sz val="9"/>
      <name val="Arial"/>
      <family val="2"/>
    </font>
    <font>
      <sz val="9"/>
      <name val="Arial"/>
      <family val="2"/>
      <charset val="204"/>
    </font>
    <font>
      <sz val="9"/>
      <color indexed="12"/>
      <name val="Times New Roman"/>
      <family val="1"/>
    </font>
    <font>
      <b/>
      <sz val="14"/>
      <name val="Times New Roman"/>
      <family val="1"/>
    </font>
    <font>
      <sz val="12"/>
      <name val="Arial"/>
      <family val="2"/>
    </font>
    <font>
      <sz val="9"/>
      <color indexed="8"/>
      <name val="Pragmatica"/>
      <charset val="204"/>
    </font>
    <font>
      <sz val="9"/>
      <name val="Tahoma"/>
      <family val="2"/>
    </font>
    <font>
      <sz val="11"/>
      <color indexed="20"/>
      <name val="Calibri"/>
      <family val="2"/>
      <charset val="204"/>
    </font>
    <font>
      <b/>
      <sz val="12"/>
      <color indexed="13"/>
      <name val="Arial"/>
      <family val="2"/>
    </font>
    <font>
      <sz val="8"/>
      <color indexed="13"/>
      <name val="Arial"/>
      <family val="2"/>
    </font>
    <font>
      <sz val="8"/>
      <color indexed="12"/>
      <name val="Tms Rmn"/>
    </font>
    <font>
      <sz val="8"/>
      <name val="Helv"/>
      <family val="2"/>
    </font>
    <font>
      <sz val="10"/>
      <name val="Times New Roman"/>
      <family val="1"/>
    </font>
    <font>
      <b/>
      <i/>
      <sz val="8"/>
      <name val="Frutiger 55"/>
    </font>
    <font>
      <b/>
      <sz val="8"/>
      <name val="Frutiger 55"/>
      <family val="2"/>
    </font>
    <font>
      <b/>
      <sz val="10"/>
      <name val="MS Sans Serif"/>
      <family val="2"/>
      <charset val="204"/>
    </font>
    <font>
      <u val="singleAccounting"/>
      <sz val="10"/>
      <name val="Arial"/>
      <family val="2"/>
    </font>
    <font>
      <b/>
      <sz val="11"/>
      <color indexed="52"/>
      <name val="Calibri"/>
      <family val="2"/>
      <charset val="204"/>
    </font>
    <font>
      <sz val="8"/>
      <name val="Times New Roman"/>
      <family val="1"/>
    </font>
    <font>
      <sz val="8"/>
      <name val="Tms Rmn"/>
    </font>
    <font>
      <sz val="10"/>
      <color indexed="18"/>
      <name val="Times New Roman"/>
      <family val="1"/>
    </font>
    <font>
      <b/>
      <sz val="11"/>
      <color indexed="9"/>
      <name val="Calibri"/>
      <family val="2"/>
      <charset val="204"/>
    </font>
    <font>
      <b/>
      <i/>
      <sz val="8"/>
      <name val="Arial"/>
      <family val="2"/>
    </font>
    <font>
      <sz val="7"/>
      <name val="Book Antiqua"/>
      <family val="1"/>
    </font>
    <font>
      <b/>
      <sz val="8"/>
      <name val="Arial"/>
      <family val="2"/>
    </font>
    <font>
      <sz val="10"/>
      <color indexed="39"/>
      <name val="Century Schoolbook"/>
      <family val="1"/>
    </font>
    <font>
      <sz val="8"/>
      <color indexed="12"/>
      <name val="Times New Roman"/>
      <family val="1"/>
    </font>
    <font>
      <sz val="10"/>
      <color indexed="24"/>
      <name val="Arial"/>
      <family val="2"/>
      <charset val="204"/>
    </font>
    <font>
      <sz val="14"/>
      <name val="Palatino"/>
      <family val="1"/>
    </font>
    <font>
      <sz val="16"/>
      <name val="Palatino"/>
      <family val="1"/>
    </font>
    <font>
      <sz val="32"/>
      <name val="Helvetica-Black"/>
    </font>
    <font>
      <sz val="12"/>
      <name val="Tms Rmn"/>
      <family val="1"/>
    </font>
    <font>
      <sz val="8"/>
      <color indexed="16"/>
      <name val="Palatino"/>
      <family val="1"/>
    </font>
    <font>
      <sz val="10"/>
      <name val="HelvDL"/>
      <charset val="204"/>
    </font>
    <font>
      <sz val="11"/>
      <name val="Book Antiqua"/>
      <family val="1"/>
    </font>
    <font>
      <sz val="10"/>
      <name val="Frutiger 55 Roman"/>
    </font>
    <font>
      <sz val="10"/>
      <color indexed="8"/>
      <name val="Arial"/>
      <family val="2"/>
    </font>
    <font>
      <u val="doubleAccounting"/>
      <sz val="10"/>
      <name val="Arial"/>
      <family val="2"/>
    </font>
    <font>
      <sz val="10"/>
      <name val="Arial Narrow"/>
      <family val="2"/>
    </font>
    <font>
      <sz val="12"/>
      <name val="Tms Rmn"/>
    </font>
    <font>
      <b/>
      <sz val="8"/>
      <color indexed="8"/>
      <name val="Times New Roman"/>
      <family val="1"/>
      <charset val="204"/>
    </font>
    <font>
      <i/>
      <sz val="11"/>
      <color indexed="23"/>
      <name val="Calibri"/>
      <family val="2"/>
      <charset val="204"/>
    </font>
    <font>
      <i/>
      <sz val="1"/>
      <color indexed="8"/>
      <name val="Courier"/>
      <family val="3"/>
    </font>
    <font>
      <sz val="14"/>
      <color indexed="32"/>
      <name val="Times New Roman"/>
      <family val="1"/>
      <charset val="204"/>
    </font>
    <font>
      <sz val="6"/>
      <color indexed="23"/>
      <name val="Helvetica-Black"/>
    </font>
    <font>
      <sz val="9.5"/>
      <color indexed="23"/>
      <name val="Helvetica-Black"/>
    </font>
    <font>
      <sz val="7"/>
      <name val="Palatino"/>
      <family val="1"/>
    </font>
    <font>
      <vertAlign val="superscript"/>
      <sz val="7"/>
      <name val="Arial"/>
      <family val="2"/>
    </font>
    <font>
      <sz val="7"/>
      <name val="Arial"/>
      <family val="2"/>
    </font>
    <font>
      <sz val="10"/>
      <name val="Book Antiqua"/>
      <family val="1"/>
      <charset val="204"/>
    </font>
    <font>
      <b/>
      <sz val="8"/>
      <color indexed="18"/>
      <name val="Arial"/>
      <family val="2"/>
    </font>
    <font>
      <sz val="11"/>
      <color indexed="17"/>
      <name val="Calibri"/>
      <family val="2"/>
      <charset val="204"/>
    </font>
    <font>
      <sz val="9"/>
      <name val="Futura UBS Bk"/>
      <family val="2"/>
    </font>
    <font>
      <sz val="6"/>
      <color indexed="16"/>
      <name val="Palatino"/>
      <family val="1"/>
    </font>
    <font>
      <sz val="6"/>
      <name val="Palatino"/>
      <family val="1"/>
    </font>
    <font>
      <sz val="6"/>
      <color indexed="12"/>
      <name val="Palatino"/>
      <family val="1"/>
    </font>
    <font>
      <b/>
      <sz val="12"/>
      <name val="Arial"/>
      <family val="2"/>
    </font>
    <font>
      <sz val="9"/>
      <color indexed="13"/>
      <name val="Arial"/>
      <family val="2"/>
    </font>
    <font>
      <b/>
      <sz val="18"/>
      <color indexed="24"/>
      <name val="Arial"/>
      <family val="2"/>
      <charset val="204"/>
    </font>
    <font>
      <sz val="10"/>
      <name val="Helvetica-Black"/>
    </font>
    <font>
      <sz val="28"/>
      <name val="Helvetica-Black"/>
      <family val="2"/>
    </font>
    <font>
      <sz val="28"/>
      <name val="Helvetica-Black"/>
    </font>
    <font>
      <b/>
      <sz val="12"/>
      <color indexed="24"/>
      <name val="Arial"/>
      <family val="2"/>
      <charset val="204"/>
    </font>
    <font>
      <sz val="10"/>
      <name val="Palatino"/>
      <family val="1"/>
    </font>
    <font>
      <sz val="18"/>
      <name val="Helvetica-Black"/>
      <family val="2"/>
    </font>
    <font>
      <sz val="18"/>
      <name val="Palatino"/>
      <family val="1"/>
    </font>
    <font>
      <b/>
      <sz val="11"/>
      <color indexed="56"/>
      <name val="Calibri"/>
      <family val="2"/>
      <charset val="204"/>
    </font>
    <font>
      <i/>
      <sz val="14"/>
      <name val="Palatino"/>
      <family val="1"/>
    </font>
    <font>
      <b/>
      <i/>
      <sz val="8"/>
      <name val="Helv"/>
    </font>
    <font>
      <b/>
      <sz val="8"/>
      <name val="Times New Roman"/>
      <family val="1"/>
    </font>
    <font>
      <b/>
      <u/>
      <sz val="8"/>
      <name val="Times New Roman"/>
      <family val="1"/>
    </font>
    <font>
      <b/>
      <i/>
      <sz val="22"/>
      <name val="Times New Roman"/>
      <family val="1"/>
    </font>
    <font>
      <sz val="8"/>
      <color indexed="16"/>
      <name val="Arial MT"/>
    </font>
    <font>
      <sz val="10"/>
      <name val="HelvDL"/>
      <charset val="238"/>
    </font>
    <font>
      <sz val="10"/>
      <name val="Times New Roman Cyr"/>
    </font>
    <font>
      <sz val="7"/>
      <name val="FruteLight"/>
    </font>
    <font>
      <sz val="11"/>
      <color indexed="62"/>
      <name val="Calibri"/>
      <family val="2"/>
      <charset val="204"/>
    </font>
    <font>
      <sz val="8"/>
      <color indexed="12"/>
      <name val="Palatino"/>
      <family val="1"/>
    </font>
    <font>
      <sz val="10"/>
      <color indexed="12"/>
      <name val="Times New Roman"/>
      <family val="1"/>
    </font>
    <font>
      <b/>
      <sz val="12"/>
      <name val="Geneva"/>
      <family val="2"/>
    </font>
    <font>
      <b/>
      <sz val="8"/>
      <color indexed="12"/>
      <name val="Times New Roman"/>
      <family val="1"/>
    </font>
    <font>
      <b/>
      <sz val="8"/>
      <color indexed="8"/>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charset val="204"/>
    </font>
    <font>
      <sz val="8"/>
      <name val="Frutiger 45"/>
      <family val="2"/>
    </font>
    <font>
      <sz val="8"/>
      <name val="Helv"/>
    </font>
    <font>
      <b/>
      <sz val="14"/>
      <color indexed="24"/>
      <name val="Book Antiqua"/>
      <family val="1"/>
    </font>
    <font>
      <i/>
      <sz val="10"/>
      <name val="PragmaticaC"/>
    </font>
    <font>
      <sz val="10"/>
      <color indexed="12"/>
      <name val="Arial"/>
      <family val="2"/>
    </font>
    <font>
      <sz val="11"/>
      <color indexed="60"/>
      <name val="Calibri"/>
      <family val="2"/>
      <charset val="204"/>
    </font>
    <font>
      <b/>
      <sz val="8"/>
      <name val="CharterITC BT"/>
      <family val="2"/>
    </font>
    <font>
      <sz val="10"/>
      <name val="CG Times (WN)"/>
      <family val="1"/>
    </font>
    <font>
      <sz val="7"/>
      <name val="Small Fonts"/>
      <family val="2"/>
      <charset val="204"/>
    </font>
    <font>
      <sz val="14"/>
      <name val="NewtonC"/>
      <charset val="204"/>
    </font>
    <font>
      <sz val="8"/>
      <name val="Arial MT"/>
    </font>
    <font>
      <i/>
      <sz val="10"/>
      <name val="Helv"/>
    </font>
    <font>
      <i/>
      <sz val="12"/>
      <name val="NewtonC"/>
    </font>
    <font>
      <sz val="12"/>
      <name val="NewtonC"/>
    </font>
    <font>
      <b/>
      <sz val="13.5"/>
      <name val="MS Sans Serif"/>
      <family val="2"/>
      <charset val="204"/>
    </font>
    <font>
      <b/>
      <sz val="11"/>
      <color indexed="63"/>
      <name val="Calibri"/>
      <family val="2"/>
      <charset val="204"/>
    </font>
    <font>
      <b/>
      <sz val="8"/>
      <color indexed="9"/>
      <name val="Arial"/>
      <family val="2"/>
    </font>
    <font>
      <sz val="10"/>
      <color indexed="16"/>
      <name val="Helvetica-Black"/>
    </font>
    <font>
      <sz val="12"/>
      <name val="Times New Roman"/>
      <family val="1"/>
    </font>
    <font>
      <sz val="8"/>
      <name val="Helvetica"/>
      <family val="2"/>
    </font>
    <font>
      <b/>
      <sz val="10"/>
      <color indexed="9"/>
      <name val="Arial"/>
      <family val="2"/>
    </font>
    <font>
      <i/>
      <sz val="12"/>
      <name val="Tms Rmn"/>
    </font>
    <font>
      <sz val="8"/>
      <color indexed="32"/>
      <name val="Arial"/>
      <family val="2"/>
    </font>
    <font>
      <b/>
      <sz val="10"/>
      <name val="MS Sans Serif"/>
      <family val="2"/>
    </font>
    <font>
      <b/>
      <u/>
      <sz val="9"/>
      <name val="Swis721 Lt BT"/>
      <charset val="204"/>
    </font>
    <font>
      <b/>
      <sz val="18"/>
      <color indexed="8"/>
      <name val="Cambria"/>
      <family val="1"/>
      <charset val="204"/>
    </font>
    <font>
      <b/>
      <sz val="11"/>
      <color indexed="23"/>
      <name val="Arial"/>
      <family val="2"/>
      <charset val="204"/>
    </font>
    <font>
      <sz val="8"/>
      <color indexed="8"/>
      <name val="Arial"/>
      <family val="2"/>
      <charset val="204"/>
    </font>
    <font>
      <b/>
      <sz val="8"/>
      <color indexed="8"/>
      <name val="Arial"/>
      <family val="2"/>
      <charset val="204"/>
    </font>
    <font>
      <b/>
      <sz val="8"/>
      <color indexed="10"/>
      <name val="Arial"/>
      <family val="2"/>
      <charset val="204"/>
    </font>
    <font>
      <sz val="8"/>
      <color indexed="63"/>
      <name val="Arial"/>
      <family val="2"/>
      <charset val="204"/>
    </font>
    <font>
      <b/>
      <sz val="8"/>
      <color indexed="39"/>
      <name val="Arial"/>
      <family val="2"/>
      <charset val="204"/>
    </font>
    <font>
      <b/>
      <sz val="10"/>
      <name val="Arial"/>
      <family val="2"/>
      <charset val="204"/>
    </font>
    <font>
      <b/>
      <sz val="11"/>
      <color indexed="8"/>
      <name val="Arial"/>
      <family val="2"/>
      <charset val="204"/>
    </font>
    <font>
      <sz val="10"/>
      <color indexed="8"/>
      <name val="Arial"/>
      <family val="2"/>
      <charset val="204"/>
    </font>
    <font>
      <b/>
      <sz val="11"/>
      <color indexed="39"/>
      <name val="Arial"/>
      <family val="2"/>
      <charset val="204"/>
    </font>
    <font>
      <sz val="10"/>
      <color indexed="39"/>
      <name val="Arial"/>
      <family val="2"/>
      <charset val="204"/>
    </font>
    <font>
      <b/>
      <sz val="11"/>
      <color indexed="10"/>
      <name val="Arial"/>
      <family val="2"/>
      <charset val="204"/>
    </font>
    <font>
      <sz val="10"/>
      <color indexed="10"/>
      <name val="Arial"/>
      <family val="2"/>
      <charset val="204"/>
    </font>
    <font>
      <sz val="10"/>
      <color indexed="23"/>
      <name val="Arial"/>
      <family val="2"/>
      <charset val="204"/>
    </font>
    <font>
      <b/>
      <sz val="11"/>
      <color indexed="9"/>
      <name val="Arial"/>
      <family val="2"/>
      <charset val="204"/>
    </font>
    <font>
      <sz val="10"/>
      <color indexed="9"/>
      <name val="Arial"/>
      <family val="2"/>
      <charset val="204"/>
    </font>
    <font>
      <b/>
      <sz val="10"/>
      <color indexed="8"/>
      <name val="Arial"/>
      <family val="2"/>
      <charset val="204"/>
    </font>
    <font>
      <b/>
      <sz val="10"/>
      <color indexed="39"/>
      <name val="Arial"/>
      <family val="2"/>
      <charset val="204"/>
    </font>
    <font>
      <b/>
      <sz val="10"/>
      <color indexed="10"/>
      <name val="Arial"/>
      <family val="2"/>
      <charset val="204"/>
    </font>
    <font>
      <b/>
      <sz val="10"/>
      <color indexed="33"/>
      <name val="Arial"/>
      <family val="2"/>
      <charset val="204"/>
    </font>
    <font>
      <b/>
      <sz val="10"/>
      <color indexed="9"/>
      <name val="Arial"/>
      <family val="2"/>
      <charset val="204"/>
    </font>
    <font>
      <sz val="9"/>
      <color indexed="10"/>
      <name val="Arial"/>
      <family val="2"/>
      <charset val="204"/>
    </font>
    <font>
      <sz val="9"/>
      <color indexed="33"/>
      <name val="Arial"/>
      <family val="2"/>
      <charset val="204"/>
    </font>
    <font>
      <sz val="9"/>
      <color indexed="9"/>
      <name val="Arial"/>
      <family val="2"/>
      <charset val="204"/>
    </font>
    <font>
      <sz val="9"/>
      <color indexed="8"/>
      <name val="Arial"/>
      <family val="2"/>
      <charset val="204"/>
    </font>
    <font>
      <sz val="10"/>
      <name val="Tms Rmn"/>
    </font>
    <font>
      <b/>
      <sz val="10"/>
      <name val="Times New Roman"/>
      <family val="1"/>
    </font>
    <font>
      <sz val="10"/>
      <name val="Book Antiqua"/>
      <family val="1"/>
    </font>
    <font>
      <b/>
      <sz val="7"/>
      <name val="Arial"/>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2"/>
      <name val="Palatino"/>
      <family val="1"/>
    </font>
    <font>
      <sz val="11"/>
      <name val="Helvetica-Black"/>
    </font>
    <font>
      <sz val="11"/>
      <color indexed="8"/>
      <name val="Helvetica-Black"/>
    </font>
    <font>
      <sz val="11"/>
      <name val="Helvetica-Black"/>
      <family val="2"/>
    </font>
    <font>
      <b/>
      <sz val="10"/>
      <color indexed="8"/>
      <name val="Times New Roman"/>
      <family val="1"/>
    </font>
    <font>
      <b/>
      <sz val="10"/>
      <color indexed="10"/>
      <name val="Arial"/>
      <family val="2"/>
    </font>
    <font>
      <b/>
      <sz val="18"/>
      <color indexed="56"/>
      <name val="Cambria"/>
      <family val="2"/>
      <charset val="204"/>
    </font>
    <font>
      <b/>
      <sz val="18"/>
      <color indexed="13"/>
      <name val="Arial"/>
      <family val="2"/>
    </font>
    <font>
      <b/>
      <sz val="16"/>
      <name val="Arial"/>
      <family val="2"/>
      <charset val="204"/>
    </font>
    <font>
      <u/>
      <sz val="8"/>
      <color indexed="8"/>
      <name val="Arial"/>
      <family val="2"/>
    </font>
    <font>
      <sz val="8"/>
      <color indexed="16"/>
      <name val="Helv"/>
    </font>
    <font>
      <sz val="8"/>
      <name val="Book Antiqua"/>
      <family val="1"/>
      <charset val="204"/>
    </font>
    <font>
      <sz val="11"/>
      <color indexed="10"/>
      <name val="Calibri"/>
      <family val="2"/>
      <charset val="204"/>
    </font>
    <font>
      <b/>
      <sz val="10"/>
      <color indexed="18"/>
      <name val="CG Times (WN)"/>
      <family val="1"/>
    </font>
    <font>
      <b/>
      <sz val="10"/>
      <name val="Arial"/>
      <family val="2"/>
    </font>
    <font>
      <b/>
      <sz val="8"/>
      <name val="Arial Cyr"/>
      <family val="2"/>
      <charset val="204"/>
    </font>
    <font>
      <b/>
      <sz val="12"/>
      <color indexed="12"/>
      <name val="Arial Cyr"/>
      <family val="2"/>
      <charset val="204"/>
    </font>
    <font>
      <b/>
      <sz val="12"/>
      <name val="Arial Cyr"/>
      <family val="2"/>
      <charset val="204"/>
    </font>
    <font>
      <b/>
      <sz val="10"/>
      <name val="Arial Cyr"/>
      <family val="2"/>
      <charset val="204"/>
    </font>
    <font>
      <sz val="8"/>
      <name val="Arial Cyr"/>
    </font>
    <font>
      <b/>
      <i/>
      <sz val="14"/>
      <color indexed="10"/>
      <name val="Arial Cyr"/>
      <family val="2"/>
      <charset val="204"/>
    </font>
    <font>
      <sz val="10"/>
      <color indexed="9"/>
      <name val="Arial Cyr"/>
      <family val="2"/>
      <charset val="204"/>
    </font>
    <font>
      <sz val="12"/>
      <name val="Arial Cyr"/>
      <family val="2"/>
      <charset val="204"/>
    </font>
    <font>
      <sz val="11"/>
      <color theme="1"/>
      <name val="Calibri"/>
      <family val="2"/>
      <charset val="204"/>
    </font>
    <font>
      <sz val="11"/>
      <color theme="1"/>
      <name val="Calibri"/>
      <family val="2"/>
      <charset val="204"/>
      <scheme val="minor"/>
    </font>
    <font>
      <sz val="11"/>
      <color indexed="8"/>
      <name val="Calibri"/>
      <family val="2"/>
    </font>
    <font>
      <b/>
      <sz val="11"/>
      <name val="Arial Cyr"/>
      <family val="2"/>
      <charset val="204"/>
    </font>
    <font>
      <b/>
      <i/>
      <sz val="14"/>
      <color indexed="57"/>
      <name val="Arial Cyr"/>
      <family val="2"/>
      <charset val="204"/>
    </font>
    <font>
      <sz val="14"/>
      <name val="Arial Cyr"/>
      <family val="2"/>
      <charset val="204"/>
    </font>
    <font>
      <sz val="9"/>
      <name val="Arial Cyr"/>
      <charset val="204"/>
    </font>
    <font>
      <sz val="8"/>
      <name val="Arial Cyr"/>
      <family val="2"/>
      <charset val="204"/>
    </font>
    <font>
      <sz val="11"/>
      <name val="ＭＳ Ｐゴシック"/>
      <charset val="128"/>
    </font>
    <font>
      <b/>
      <sz val="12"/>
      <name val="Arial"/>
      <family val="2"/>
      <charset val="204"/>
    </font>
    <font>
      <sz val="8"/>
      <color indexed="81"/>
      <name val="Tahoma"/>
      <family val="2"/>
      <charset val="204"/>
    </font>
    <font>
      <sz val="11"/>
      <color theme="1"/>
      <name val="Calibri"/>
      <family val="2"/>
      <scheme val="minor"/>
    </font>
    <font>
      <b/>
      <sz val="8"/>
      <name val="Times New Roman"/>
      <family val="1"/>
      <charset val="204"/>
    </font>
    <font>
      <i/>
      <sz val="8"/>
      <name val="Times New Roman"/>
      <family val="1"/>
    </font>
    <font>
      <b/>
      <sz val="10"/>
      <color rgb="FF0000FF"/>
      <name val="Times New Roman"/>
      <family val="1"/>
      <charset val="204"/>
    </font>
    <font>
      <b/>
      <sz val="10"/>
      <color rgb="FFC00000"/>
      <name val="Times New Roman"/>
      <family val="1"/>
      <charset val="204"/>
    </font>
    <font>
      <u/>
      <sz val="14"/>
      <color rgb="FF3366FF"/>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sz val="12"/>
      <name val="Arial"/>
      <family val="2"/>
      <charset val="204"/>
    </font>
    <font>
      <b/>
      <sz val="9"/>
      <name val="Calibri"/>
      <family val="2"/>
      <charset val="204"/>
    </font>
    <font>
      <sz val="9"/>
      <name val="Calibri"/>
      <family val="2"/>
      <charset val="204"/>
    </font>
    <font>
      <sz val="12"/>
      <color theme="1"/>
      <name val="Times New Roman"/>
      <family val="1"/>
      <charset val="204"/>
    </font>
    <font>
      <i/>
      <sz val="12"/>
      <color theme="1"/>
      <name val="Times New Roman"/>
      <family val="1"/>
      <charset val="204"/>
    </font>
    <font>
      <b/>
      <sz val="10"/>
      <color rgb="FFFF0000"/>
      <name val="Times New Roman"/>
      <family val="1"/>
      <charset val="204"/>
    </font>
    <font>
      <b/>
      <sz val="10"/>
      <color theme="1"/>
      <name val="Times New Roman"/>
      <family val="1"/>
      <charset val="204"/>
    </font>
    <font>
      <i/>
      <sz val="12"/>
      <color rgb="FF7F7F7F"/>
      <name val="Times New Roman"/>
      <family val="2"/>
      <charset val="204"/>
    </font>
    <font>
      <u/>
      <sz val="12"/>
      <color theme="5" tint="-0.249977111117893"/>
      <name val="Arial Cyr"/>
      <charset val="204"/>
    </font>
    <font>
      <u/>
      <sz val="10"/>
      <color theme="5" tint="-0.249977111117893"/>
      <name val="Arial Cyr"/>
      <charset val="204"/>
    </font>
    <font>
      <b/>
      <sz val="14"/>
      <name val="Times New Roman"/>
      <family val="1"/>
      <charset val="204"/>
    </font>
    <font>
      <b/>
      <sz val="14"/>
      <color indexed="8"/>
      <name val="Times New Roman"/>
      <family val="1"/>
      <charset val="204"/>
    </font>
    <font>
      <sz val="14"/>
      <color rgb="FF000000"/>
      <name val="Times New Roman"/>
      <family val="1"/>
      <charset val="204"/>
    </font>
    <font>
      <sz val="14"/>
      <color theme="1"/>
      <name val="Times New Roman"/>
      <family val="1"/>
      <charset val="204"/>
    </font>
    <font>
      <sz val="10"/>
      <color rgb="FF000000"/>
      <name val="Times New Roman"/>
      <family val="1"/>
      <charset val="204"/>
    </font>
    <font>
      <sz val="11"/>
      <name val="TimesET"/>
    </font>
    <font>
      <i/>
      <sz val="14"/>
      <name val="Times New Roman"/>
      <family val="1"/>
      <charset val="204"/>
    </font>
    <font>
      <i/>
      <sz val="8"/>
      <name val="Times New Roman"/>
      <family val="1"/>
      <charset val="204"/>
    </font>
    <font>
      <u/>
      <sz val="14"/>
      <color indexed="12"/>
      <name val="Times New Roman"/>
      <family val="1"/>
      <charset val="204"/>
    </font>
    <font>
      <u/>
      <sz val="14"/>
      <color theme="5" tint="-0.249977111117893"/>
      <name val="Arial Cyr"/>
      <charset val="204"/>
    </font>
    <font>
      <b/>
      <sz val="8"/>
      <color indexed="81"/>
      <name val="Tahoma"/>
      <family val="2"/>
      <charset val="204"/>
    </font>
    <font>
      <u/>
      <sz val="10"/>
      <color indexed="12"/>
      <name val="Times New Roman"/>
      <family val="1"/>
      <charset val="204"/>
    </font>
    <font>
      <sz val="10"/>
      <color theme="5" tint="-0.249977111117893"/>
      <name val="Times New Roman"/>
      <family val="1"/>
      <charset val="204"/>
    </font>
    <font>
      <b/>
      <sz val="10"/>
      <color rgb="FF000000"/>
      <name val="Times New Roman"/>
      <family val="1"/>
      <charset val="204"/>
    </font>
    <font>
      <sz val="8"/>
      <color theme="1"/>
      <name val="Times New Roman"/>
      <family val="1"/>
      <charset val="204"/>
    </font>
    <font>
      <sz val="9"/>
      <color indexed="81"/>
      <name val="Tahoma"/>
      <family val="2"/>
      <charset val="204"/>
    </font>
    <font>
      <b/>
      <sz val="9"/>
      <color indexed="81"/>
      <name val="Tahoma"/>
      <family val="2"/>
      <charset val="204"/>
    </font>
    <font>
      <sz val="8"/>
      <color theme="1"/>
      <name val="Times New Roman"/>
      <family val="2"/>
      <charset val="204"/>
    </font>
    <font>
      <b/>
      <sz val="12"/>
      <color rgb="FFFF0000"/>
      <name val="Times New Roman"/>
      <family val="1"/>
      <charset val="204"/>
    </font>
    <font>
      <sz val="12"/>
      <color rgb="FF000000"/>
      <name val="Times New Roman"/>
      <family val="1"/>
      <charset val="204"/>
    </font>
    <font>
      <sz val="11"/>
      <name val="Calibri"/>
      <family val="2"/>
      <charset val="204"/>
    </font>
    <font>
      <sz val="10"/>
      <color rgb="FFFF0000"/>
      <name val="Arial Cyr"/>
      <charset val="204"/>
    </font>
    <font>
      <sz val="12"/>
      <color rgb="FFFF0000"/>
      <name val="Times New Roman"/>
      <family val="1"/>
      <charset val="204"/>
    </font>
    <font>
      <sz val="10"/>
      <color rgb="FFFF0000"/>
      <name val="Arial"/>
      <family val="2"/>
      <charset val="204"/>
    </font>
    <font>
      <sz val="11"/>
      <color rgb="FFFF0000"/>
      <name val="Times New Roman"/>
      <family val="1"/>
      <charset val="204"/>
    </font>
    <font>
      <sz val="8"/>
      <color theme="0"/>
      <name val="Times New Roman"/>
      <family val="1"/>
      <charset val="204"/>
    </font>
    <font>
      <b/>
      <sz val="11"/>
      <color rgb="FFFF0000"/>
      <name val="Times New Roman"/>
      <family val="1"/>
      <charset val="204"/>
    </font>
    <font>
      <b/>
      <sz val="10"/>
      <color rgb="FFFF0000"/>
      <name val="Arial Cyr"/>
      <charset val="204"/>
    </font>
    <font>
      <b/>
      <i/>
      <sz val="10"/>
      <color theme="1"/>
      <name val="Times New Roman"/>
      <family val="1"/>
      <charset val="204"/>
    </font>
    <font>
      <b/>
      <i/>
      <sz val="10"/>
      <color rgb="FFFF0000"/>
      <name val="Times New Roman"/>
      <family val="1"/>
      <charset val="204"/>
    </font>
  </fonts>
  <fills count="8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rgb="FF92D050"/>
        <bgColor indexed="64"/>
      </patternFill>
    </fill>
    <fill>
      <patternFill patternType="solid">
        <fgColor rgb="FF99CCFF"/>
        <bgColor indexed="64"/>
      </patternFill>
    </fill>
    <fill>
      <patternFill patternType="solid">
        <fgColor indexed="1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8"/>
        <bgColor indexed="64"/>
      </patternFill>
    </fill>
    <fill>
      <patternFill patternType="solid">
        <fgColor indexed="32"/>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35"/>
        <bgColor indexed="64"/>
      </patternFill>
    </fill>
    <fill>
      <patternFill patternType="solid">
        <fgColor indexed="26"/>
        <bgColor indexed="64"/>
      </patternFill>
    </fill>
    <fill>
      <patternFill patternType="solid">
        <fgColor indexed="17"/>
        <bgColor indexed="9"/>
      </patternFill>
    </fill>
    <fill>
      <patternFill patternType="lightGray">
        <fgColor indexed="13"/>
      </patternFill>
    </fill>
    <fill>
      <patternFill patternType="solid">
        <fgColor indexed="43"/>
      </patternFill>
    </fill>
    <fill>
      <patternFill patternType="solid">
        <fgColor indexed="26"/>
      </patternFill>
    </fill>
    <fill>
      <patternFill patternType="solid">
        <fgColor indexed="10"/>
        <bgColor indexed="64"/>
      </patternFill>
    </fill>
    <fill>
      <patternFill patternType="lightGray">
        <fgColor indexed="10"/>
      </patternFill>
    </fill>
    <fill>
      <patternFill patternType="solid">
        <fgColor indexed="34"/>
        <bgColor indexed="64"/>
      </patternFill>
    </fill>
    <fill>
      <patternFill patternType="solid">
        <fgColor indexed="62"/>
        <bgColor indexed="64"/>
      </patternFill>
    </fill>
    <fill>
      <patternFill patternType="solid">
        <fgColor indexed="63"/>
        <bgColor indexed="64"/>
      </patternFill>
    </fill>
    <fill>
      <patternFill patternType="solid">
        <fgColor indexed="8"/>
        <bgColor indexed="64"/>
      </patternFill>
    </fill>
    <fill>
      <patternFill patternType="gray125">
        <fgColor indexed="8"/>
        <bgColor indexed="13"/>
      </patternFill>
    </fill>
    <fill>
      <patternFill patternType="solid">
        <fgColor indexed="16"/>
        <bgColor indexed="64"/>
      </patternFill>
    </fill>
    <fill>
      <patternFill patternType="gray0625">
        <fgColor indexed="12"/>
      </patternFill>
    </fill>
    <fill>
      <patternFill patternType="mediumGray">
        <fgColor indexed="11"/>
      </patternFill>
    </fill>
    <fill>
      <patternFill patternType="lightGray">
        <fgColor indexed="11"/>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47"/>
        <bgColor indexed="64"/>
      </patternFill>
    </fill>
    <fill>
      <patternFill patternType="solid">
        <fgColor indexed="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26"/>
      </patternFill>
    </fill>
    <fill>
      <patternFill patternType="solid">
        <fgColor indexed="50"/>
        <bgColor indexed="51"/>
      </patternFill>
    </fill>
    <fill>
      <patternFill patternType="solid">
        <fgColor indexed="10"/>
        <bgColor indexed="60"/>
      </patternFill>
    </fill>
    <fill>
      <patternFill patternType="solid">
        <fgColor indexed="22"/>
        <bgColor indexed="31"/>
      </patternFill>
    </fill>
    <fill>
      <patternFill patternType="solid">
        <fgColor indexed="47"/>
        <bgColor indexed="2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C99"/>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s>
  <borders count="28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style="thick">
        <color indexed="37"/>
      </bottom>
      <diagonal/>
    </border>
    <border>
      <left/>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4"/>
      </bottom>
      <diagonal/>
    </border>
    <border>
      <left style="thick">
        <color indexed="9"/>
      </left>
      <right style="thick">
        <color indexed="9"/>
      </right>
      <top/>
      <bottom/>
      <diagonal/>
    </border>
    <border>
      <left/>
      <right/>
      <top/>
      <bottom style="double">
        <color indexed="52"/>
      </bottom>
      <diagonal/>
    </border>
    <border>
      <left/>
      <right/>
      <top/>
      <bottom style="hair">
        <color indexed="64"/>
      </bottom>
      <diagonal/>
    </border>
    <border>
      <left/>
      <right/>
      <top style="medium">
        <color indexed="18"/>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double">
        <color indexed="64"/>
      </top>
      <bottom/>
      <diagonal/>
    </border>
    <border>
      <left style="double">
        <color indexed="64"/>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double">
        <color indexed="64"/>
      </right>
      <top style="thin">
        <color indexed="64"/>
      </top>
      <bottom/>
      <diagonal/>
    </border>
    <border>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medium">
        <color indexed="64"/>
      </right>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double">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64"/>
      </left>
      <right style="thin">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diagonal/>
    </border>
    <border>
      <left style="medium">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medium">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8"/>
      </left>
      <right style="thin">
        <color indexed="8"/>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medium">
        <color indexed="8"/>
      </top>
      <bottom style="medium">
        <color indexed="8"/>
      </bottom>
      <diagonal/>
    </border>
    <border>
      <left style="medium">
        <color indexed="64"/>
      </left>
      <right style="thin">
        <color indexed="8"/>
      </right>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diagonal/>
    </border>
    <border>
      <left style="medium">
        <color indexed="64"/>
      </left>
      <right style="double">
        <color indexed="64"/>
      </right>
      <top style="double">
        <color indexed="64"/>
      </top>
      <bottom style="thin">
        <color indexed="64"/>
      </bottom>
      <diagonal/>
    </border>
    <border>
      <left/>
      <right style="medium">
        <color indexed="64"/>
      </right>
      <top/>
      <bottom style="medium">
        <color indexed="64"/>
      </bottom>
      <diagonal/>
    </border>
    <border>
      <left/>
      <right style="double">
        <color indexed="64"/>
      </right>
      <top/>
      <bottom style="thin">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s>
  <cellStyleXfs count="1101">
    <xf numFmtId="0" fontId="0" fillId="0" borderId="0"/>
    <xf numFmtId="0" fontId="9" fillId="0" borderId="0" applyNumberFormat="0" applyFill="0" applyBorder="0" applyAlignment="0" applyProtection="0">
      <alignment vertical="top"/>
      <protection locked="0"/>
    </xf>
    <xf numFmtId="164" fontId="19" fillId="0" borderId="0" applyFont="0" applyFill="0" applyBorder="0" applyAlignment="0" applyProtection="0"/>
    <xf numFmtId="0" fontId="19" fillId="0" borderId="0"/>
    <xf numFmtId="9" fontId="48" fillId="0" borderId="0">
      <alignment horizontal="right"/>
    </xf>
    <xf numFmtId="170" fontId="2" fillId="0" borderId="0"/>
    <xf numFmtId="0" fontId="49" fillId="0" borderId="0"/>
    <xf numFmtId="171" fontId="50" fillId="0" borderId="0" applyFont="0" applyFill="0" applyBorder="0" applyAlignment="0"/>
    <xf numFmtId="0" fontId="51" fillId="0" borderId="0"/>
    <xf numFmtId="172" fontId="52" fillId="0" borderId="0">
      <alignment horizontal="left" wrapText="1"/>
    </xf>
    <xf numFmtId="172" fontId="52" fillId="0" borderId="0">
      <alignment horizontal="left" wrapText="1"/>
    </xf>
    <xf numFmtId="0" fontId="51" fillId="0" borderId="0"/>
    <xf numFmtId="172" fontId="52" fillId="0" borderId="0">
      <alignment horizontal="left" wrapText="1"/>
    </xf>
    <xf numFmtId="0" fontId="53" fillId="0" borderId="0"/>
    <xf numFmtId="0" fontId="51" fillId="0" borderId="0"/>
    <xf numFmtId="173" fontId="49" fillId="0" borderId="0" applyFont="0" applyFill="0" applyBorder="0" applyAlignment="0" applyProtection="0"/>
    <xf numFmtId="0" fontId="53" fillId="0" borderId="0"/>
    <xf numFmtId="0" fontId="54" fillId="0" borderId="0">
      <alignment vertical="center"/>
    </xf>
    <xf numFmtId="172" fontId="49" fillId="0" borderId="0">
      <alignment horizontal="left" wrapText="1"/>
    </xf>
    <xf numFmtId="0" fontId="51" fillId="0" borderId="0"/>
    <xf numFmtId="0" fontId="5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9" fillId="0" borderId="0" applyFont="0" applyFill="0" applyBorder="0" applyAlignment="0" applyProtection="0"/>
    <xf numFmtId="0" fontId="49" fillId="0" borderId="0" applyFont="0" applyFill="0" applyBorder="0" applyAlignment="0" applyProtection="0"/>
    <xf numFmtId="0" fontId="52"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5" fillId="0" borderId="0"/>
    <xf numFmtId="0" fontId="54"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9" fillId="0" borderId="0" applyFon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1" fillId="0" borderId="0"/>
    <xf numFmtId="0" fontId="51" fillId="0" borderId="0"/>
    <xf numFmtId="0" fontId="54" fillId="0" borderId="0">
      <alignment vertical="center"/>
    </xf>
    <xf numFmtId="0" fontId="54" fillId="0" borderId="0">
      <alignment vertical="center"/>
    </xf>
    <xf numFmtId="0" fontId="53" fillId="0" borderId="0"/>
    <xf numFmtId="172" fontId="49" fillId="0" borderId="0">
      <alignment horizontal="left" wrapText="1"/>
    </xf>
    <xf numFmtId="172" fontId="49" fillId="0" borderId="0">
      <alignment horizontal="left" wrapText="1"/>
    </xf>
    <xf numFmtId="172" fontId="52" fillId="0" borderId="0">
      <alignment horizontal="left" wrapText="1"/>
    </xf>
    <xf numFmtId="172" fontId="52" fillId="0" borderId="0">
      <alignment horizontal="left" wrapText="1"/>
    </xf>
    <xf numFmtId="172" fontId="49" fillId="0" borderId="0">
      <alignment horizontal="left" wrapText="1"/>
    </xf>
    <xf numFmtId="172" fontId="49" fillId="0" borderId="0">
      <alignment horizontal="left" wrapText="1"/>
    </xf>
    <xf numFmtId="172" fontId="52" fillId="0" borderId="0">
      <alignment horizontal="left" wrapText="1"/>
    </xf>
    <xf numFmtId="172" fontId="49" fillId="0" borderId="0">
      <alignment horizontal="left" wrapText="1"/>
    </xf>
    <xf numFmtId="172" fontId="49" fillId="0" borderId="0">
      <alignment horizontal="left" wrapText="1"/>
    </xf>
    <xf numFmtId="172" fontId="49" fillId="0" borderId="0">
      <alignment horizontal="left" wrapText="1"/>
    </xf>
    <xf numFmtId="172" fontId="49" fillId="0" borderId="0">
      <alignment horizontal="left" wrapText="1"/>
    </xf>
    <xf numFmtId="172" fontId="52" fillId="0" borderId="0">
      <alignment horizontal="left" wrapText="1"/>
    </xf>
    <xf numFmtId="172" fontId="52" fillId="0" borderId="0">
      <alignment horizontal="left" wrapText="1"/>
    </xf>
    <xf numFmtId="172" fontId="49" fillId="0" borderId="0">
      <alignment horizontal="left" wrapText="1"/>
    </xf>
    <xf numFmtId="172" fontId="49" fillId="0" borderId="0">
      <alignment horizontal="left" wrapText="1"/>
    </xf>
    <xf numFmtId="172" fontId="52" fillId="0" borderId="0">
      <alignment horizontal="left" wrapText="1"/>
    </xf>
    <xf numFmtId="172" fontId="49" fillId="0" borderId="0">
      <alignment horizontal="left" wrapText="1"/>
    </xf>
    <xf numFmtId="172" fontId="49" fillId="0" borderId="0">
      <alignment horizontal="left" wrapText="1"/>
    </xf>
    <xf numFmtId="172" fontId="49" fillId="0" borderId="0">
      <alignment horizontal="left" wrapText="1"/>
    </xf>
    <xf numFmtId="172" fontId="49" fillId="0" borderId="0">
      <alignment horizontal="left" wrapText="1"/>
    </xf>
    <xf numFmtId="0" fontId="52" fillId="0" borderId="0" applyFont="0" applyFill="0" applyBorder="0" applyAlignment="0" applyProtection="0"/>
    <xf numFmtId="0" fontId="54" fillId="0" borderId="0">
      <alignment vertical="center"/>
    </xf>
    <xf numFmtId="0" fontId="54" fillId="0" borderId="0">
      <alignment vertical="center"/>
    </xf>
    <xf numFmtId="0" fontId="49" fillId="0" borderId="0" applyFont="0" applyFill="0" applyBorder="0" applyAlignment="0" applyProtection="0"/>
    <xf numFmtId="174" fontId="56" fillId="0" borderId="0" applyFont="0" applyFill="0" applyBorder="0" applyAlignment="0" applyProtection="0"/>
    <xf numFmtId="0" fontId="5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2" fontId="52" fillId="0" borderId="0">
      <alignment horizontal="left" wrapText="1"/>
    </xf>
    <xf numFmtId="0" fontId="49" fillId="0" borderId="0" applyFont="0" applyFill="0" applyBorder="0" applyAlignment="0" applyProtection="0"/>
    <xf numFmtId="175" fontId="56" fillId="0" borderId="0" applyFont="0" applyFill="0" applyBorder="0" applyAlignment="0" applyProtection="0"/>
    <xf numFmtId="172" fontId="52" fillId="0" borderId="0">
      <alignment horizontal="left" wrapText="1"/>
    </xf>
    <xf numFmtId="0" fontId="53" fillId="0" borderId="0"/>
    <xf numFmtId="0" fontId="53" fillId="0" borderId="0"/>
    <xf numFmtId="0" fontId="53" fillId="0" borderId="0"/>
    <xf numFmtId="0" fontId="54" fillId="0" borderId="0">
      <alignment vertical="center"/>
    </xf>
    <xf numFmtId="0" fontId="54" fillId="0" borderId="0">
      <alignment vertical="center"/>
    </xf>
    <xf numFmtId="0" fontId="54" fillId="0" borderId="0">
      <alignment vertical="center"/>
    </xf>
    <xf numFmtId="0" fontId="53" fillId="0" borderId="0"/>
    <xf numFmtId="0" fontId="52" fillId="0" borderId="0" applyFont="0" applyFill="0" applyBorder="0" applyAlignment="0" applyProtection="0"/>
    <xf numFmtId="0" fontId="52" fillId="0" borderId="0" applyFont="0" applyFill="0" applyBorder="0" applyAlignment="0" applyProtection="0"/>
    <xf numFmtId="0" fontId="49" fillId="0" borderId="0" applyFont="0" applyFill="0" applyBorder="0" applyAlignment="0" applyProtection="0"/>
    <xf numFmtId="0" fontId="53" fillId="0" borderId="0"/>
    <xf numFmtId="172" fontId="52" fillId="0" borderId="0">
      <alignment horizontal="left" wrapText="1"/>
    </xf>
    <xf numFmtId="0" fontId="53" fillId="0" borderId="0"/>
    <xf numFmtId="0" fontId="54" fillId="0" borderId="0">
      <alignment vertical="center"/>
    </xf>
    <xf numFmtId="0" fontId="51" fillId="0" borderId="0"/>
    <xf numFmtId="0" fontId="51" fillId="0" borderId="0"/>
    <xf numFmtId="0" fontId="51" fillId="0" borderId="0"/>
    <xf numFmtId="0" fontId="51" fillId="0" borderId="0"/>
    <xf numFmtId="0" fontId="49" fillId="0" borderId="0"/>
    <xf numFmtId="0" fontId="51" fillId="0" borderId="0"/>
    <xf numFmtId="0" fontId="54" fillId="0" borderId="0">
      <alignment vertical="center"/>
    </xf>
    <xf numFmtId="0" fontId="54" fillId="0" borderId="0">
      <alignment vertical="center"/>
    </xf>
    <xf numFmtId="0" fontId="53" fillId="0" borderId="0"/>
    <xf numFmtId="0" fontId="5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1" fillId="0" borderId="0"/>
    <xf numFmtId="0" fontId="53" fillId="0" borderId="0"/>
    <xf numFmtId="0" fontId="51" fillId="0" borderId="0"/>
    <xf numFmtId="0" fontId="24" fillId="0" borderId="0" applyFont="0" applyFill="0" applyBorder="0" applyAlignment="0" applyProtection="0"/>
    <xf numFmtId="176" fontId="24" fillId="0" borderId="0" applyFont="0" applyFill="0" applyBorder="0" applyAlignment="0" applyProtection="0"/>
    <xf numFmtId="177" fontId="57" fillId="0" borderId="0">
      <protection locked="0"/>
    </xf>
    <xf numFmtId="178" fontId="57" fillId="0" borderId="0">
      <protection locked="0"/>
    </xf>
    <xf numFmtId="179" fontId="57" fillId="0" borderId="0">
      <protection locked="0"/>
    </xf>
    <xf numFmtId="0" fontId="57" fillId="0" borderId="0">
      <protection locked="0"/>
    </xf>
    <xf numFmtId="0" fontId="49" fillId="0" borderId="0" applyFont="0" applyFill="0" applyBorder="0" applyAlignment="0" applyProtection="0"/>
    <xf numFmtId="0" fontId="49" fillId="0" borderId="0" applyFont="0" applyFill="0" applyBorder="0" applyAlignment="0" applyProtection="0"/>
    <xf numFmtId="0" fontId="52" fillId="0" borderId="0"/>
    <xf numFmtId="0" fontId="49" fillId="0" borderId="0"/>
    <xf numFmtId="0" fontId="58" fillId="0" borderId="0">
      <protection locked="0"/>
    </xf>
    <xf numFmtId="0" fontId="58" fillId="0" borderId="0">
      <protection locked="0"/>
    </xf>
    <xf numFmtId="0" fontId="24" fillId="0" borderId="0"/>
    <xf numFmtId="0" fontId="57" fillId="0" borderId="76">
      <protection locked="0"/>
    </xf>
    <xf numFmtId="0" fontId="59" fillId="0" borderId="0"/>
    <xf numFmtId="9" fontId="49" fillId="0" borderId="0"/>
    <xf numFmtId="180" fontId="19" fillId="0" borderId="0">
      <alignment horizontal="center"/>
    </xf>
    <xf numFmtId="0" fontId="59" fillId="0" borderId="0"/>
    <xf numFmtId="0" fontId="59" fillId="0" borderId="0"/>
    <xf numFmtId="181" fontId="60" fillId="0" borderId="0"/>
    <xf numFmtId="2" fontId="59" fillId="0" borderId="0"/>
    <xf numFmtId="10" fontId="59" fillId="0" borderId="0"/>
    <xf numFmtId="2" fontId="60" fillId="0" borderId="0"/>
    <xf numFmtId="0" fontId="60" fillId="0" borderId="0"/>
    <xf numFmtId="0" fontId="60" fillId="0" borderId="0"/>
    <xf numFmtId="0" fontId="59" fillId="0" borderId="0"/>
    <xf numFmtId="0" fontId="60" fillId="0" borderId="0"/>
    <xf numFmtId="182" fontId="59" fillId="0" borderId="0"/>
    <xf numFmtId="182" fontId="59" fillId="0" borderId="0"/>
    <xf numFmtId="0" fontId="59" fillId="0" borderId="0"/>
    <xf numFmtId="0" fontId="59" fillId="0" borderId="0"/>
    <xf numFmtId="182" fontId="59" fillId="0" borderId="0"/>
    <xf numFmtId="0" fontId="59" fillId="0" borderId="0"/>
    <xf numFmtId="0" fontId="59" fillId="0" borderId="0"/>
    <xf numFmtId="0" fontId="59" fillId="0" borderId="0"/>
    <xf numFmtId="0" fontId="60" fillId="0" borderId="0"/>
    <xf numFmtId="0" fontId="60" fillId="0" borderId="0"/>
    <xf numFmtId="0" fontId="60" fillId="0" borderId="0"/>
    <xf numFmtId="182" fontId="59" fillId="0" borderId="0"/>
    <xf numFmtId="0" fontId="59" fillId="0" borderId="0"/>
    <xf numFmtId="0" fontId="59" fillId="0" borderId="0"/>
    <xf numFmtId="49" fontId="49" fillId="5" borderId="0" applyFill="0" applyBorder="0">
      <alignment horizontal="left"/>
    </xf>
    <xf numFmtId="0" fontId="61" fillId="0" borderId="37" applyNumberFormat="0" applyFont="0" applyAlignment="0">
      <alignment vertical="center"/>
    </xf>
    <xf numFmtId="0" fontId="49" fillId="0" borderId="0" applyFill="0" applyBorder="0">
      <alignment vertical="center"/>
    </xf>
    <xf numFmtId="183" fontId="49" fillId="0" borderId="0" applyFill="0" applyBorder="0">
      <alignment horizontal="right" vertical="center"/>
    </xf>
    <xf numFmtId="183" fontId="49" fillId="0" borderId="0" applyFill="0" applyBorder="0">
      <alignment horizontal="right" vertical="center"/>
    </xf>
    <xf numFmtId="170" fontId="61" fillId="0" borderId="0" applyFill="0" applyBorder="0">
      <alignment horizontal="right" vertical="center"/>
    </xf>
    <xf numFmtId="0" fontId="62" fillId="0" borderId="37" applyFill="0" applyBorder="0">
      <alignment vertical="center"/>
    </xf>
    <xf numFmtId="173" fontId="49" fillId="0" borderId="0"/>
    <xf numFmtId="173" fontId="63" fillId="0" borderId="0">
      <alignment horizontal="left"/>
    </xf>
    <xf numFmtId="0" fontId="59" fillId="10" borderId="0"/>
    <xf numFmtId="0" fontId="64" fillId="11"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5" fillId="21"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1"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37" fontId="66" fillId="0" borderId="0">
      <alignment horizontal="center"/>
    </xf>
    <xf numFmtId="0" fontId="67" fillId="0" borderId="0">
      <alignment horizontal="right"/>
    </xf>
    <xf numFmtId="173" fontId="68" fillId="2" borderId="0" applyFont="0" applyBorder="0"/>
    <xf numFmtId="0" fontId="69" fillId="25" borderId="0"/>
    <xf numFmtId="0" fontId="70" fillId="25" borderId="0"/>
    <xf numFmtId="173" fontId="68" fillId="26" borderId="0" applyNumberFormat="0" applyFont="0" applyBorder="0" applyAlignment="0" applyProtection="0"/>
    <xf numFmtId="173" fontId="54" fillId="3" borderId="0" applyNumberFormat="0" applyFont="0" applyBorder="0" applyAlignment="0" applyProtection="0"/>
    <xf numFmtId="173" fontId="56" fillId="27" borderId="0" applyBorder="0"/>
    <xf numFmtId="173" fontId="61" fillId="27" borderId="0" applyBorder="0"/>
    <xf numFmtId="173" fontId="61" fillId="27" borderId="0" applyBorder="0"/>
    <xf numFmtId="173" fontId="52" fillId="0" borderId="34" applyNumberFormat="0" applyBorder="0" applyAlignment="0" applyProtection="0"/>
    <xf numFmtId="167" fontId="48" fillId="0" borderId="0" applyBorder="0">
      <alignment horizontal="right"/>
    </xf>
    <xf numFmtId="167" fontId="71" fillId="0" borderId="0" applyBorder="0">
      <alignment horizontal="right"/>
    </xf>
    <xf numFmtId="167" fontId="56" fillId="0" borderId="34" applyBorder="0">
      <alignment horizontal="right"/>
    </xf>
    <xf numFmtId="167" fontId="61" fillId="0" borderId="34" applyBorder="0">
      <alignment horizontal="right"/>
    </xf>
    <xf numFmtId="167" fontId="61" fillId="0" borderId="34" applyBorder="0">
      <alignment horizontal="right"/>
    </xf>
    <xf numFmtId="173" fontId="49" fillId="0" borderId="34" applyNumberFormat="0" applyBorder="0" applyAlignment="0" applyProtection="0"/>
    <xf numFmtId="173" fontId="49" fillId="0" borderId="34" applyNumberFormat="0" applyBorder="0" applyAlignment="0" applyProtection="0"/>
    <xf numFmtId="170" fontId="72" fillId="0" borderId="0" applyBorder="0">
      <alignment horizontal="right"/>
    </xf>
    <xf numFmtId="170" fontId="73" fillId="0" borderId="34" applyBorder="0">
      <alignment horizontal="right"/>
    </xf>
    <xf numFmtId="170" fontId="74" fillId="0" borderId="34" applyBorder="0">
      <alignment horizontal="right"/>
    </xf>
    <xf numFmtId="170" fontId="75" fillId="0" borderId="0" applyBorder="0">
      <alignment horizontal="right"/>
    </xf>
    <xf numFmtId="173" fontId="76" fillId="0" borderId="0">
      <alignment horizontal="left" indent="1"/>
    </xf>
    <xf numFmtId="173" fontId="77" fillId="0" borderId="0">
      <alignment horizontal="left"/>
    </xf>
    <xf numFmtId="173" fontId="78" fillId="0" borderId="56" applyBorder="0"/>
    <xf numFmtId="173" fontId="79" fillId="0" borderId="56" applyBorder="0"/>
    <xf numFmtId="173" fontId="68" fillId="4" borderId="34" applyNumberFormat="0" applyFont="0" applyBorder="0" applyAlignment="0" applyProtection="0"/>
    <xf numFmtId="167" fontId="80" fillId="28" borderId="56" applyBorder="0">
      <alignment horizontal="right"/>
    </xf>
    <xf numFmtId="167" fontId="81" fillId="28" borderId="56" applyBorder="0">
      <alignment horizontal="right"/>
    </xf>
    <xf numFmtId="167" fontId="80" fillId="0" borderId="56" applyBorder="0">
      <alignment horizontal="right"/>
    </xf>
    <xf numFmtId="167" fontId="81" fillId="0" borderId="56" applyBorder="0">
      <alignment horizontal="right"/>
    </xf>
    <xf numFmtId="173" fontId="82" fillId="0" borderId="34" applyNumberFormat="0" applyBorder="0" applyAlignment="0" applyProtection="0"/>
    <xf numFmtId="173" fontId="83" fillId="0" borderId="34" applyNumberFormat="0" applyBorder="0" applyAlignment="0" applyProtection="0"/>
    <xf numFmtId="0" fontId="80" fillId="2" borderId="77" applyBorder="0">
      <alignment horizontal="center"/>
    </xf>
    <xf numFmtId="0" fontId="81" fillId="2" borderId="77" applyBorder="0">
      <alignment horizontal="center"/>
    </xf>
    <xf numFmtId="0" fontId="65"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32" borderId="0" applyNumberFormat="0" applyBorder="0" applyAlignment="0" applyProtection="0"/>
    <xf numFmtId="184" fontId="84" fillId="0" borderId="0" applyFont="0" applyFill="0" applyBorder="0" applyAlignment="0" applyProtection="0"/>
    <xf numFmtId="0" fontId="52" fillId="0" borderId="0"/>
    <xf numFmtId="37" fontId="85" fillId="0" borderId="0" applyFont="0" applyAlignment="0">
      <alignment horizontal="centerContinuous" vertical="top"/>
    </xf>
    <xf numFmtId="0" fontId="52" fillId="0" borderId="0" applyNumberFormat="0" applyFill="0" applyBorder="0" applyAlignment="0" applyProtection="0"/>
    <xf numFmtId="0" fontId="86" fillId="0" borderId="0" applyNumberFormat="0" applyFill="0" applyBorder="0" applyAlignment="0" applyProtection="0"/>
    <xf numFmtId="0" fontId="87" fillId="0" borderId="0" applyFill="0" applyBorder="0" applyProtection="0">
      <alignment horizontal="left" vertical="top" wrapText="1"/>
    </xf>
    <xf numFmtId="0" fontId="88" fillId="0" borderId="0" applyFont="0" applyFill="0" applyBorder="0" applyAlignment="0" applyProtection="0"/>
    <xf numFmtId="0" fontId="89" fillId="12" borderId="0" applyNumberFormat="0" applyBorder="0" applyAlignment="0" applyProtection="0"/>
    <xf numFmtId="185" fontId="90" fillId="33" borderId="8" applyNumberFormat="0" applyBorder="0" applyAlignment="0">
      <alignment horizontal="centerContinuous" vertical="center"/>
      <protection hidden="1"/>
    </xf>
    <xf numFmtId="1" fontId="91" fillId="34" borderId="48" applyNumberFormat="0" applyBorder="0" applyAlignment="0">
      <alignment horizontal="center" vertical="top" wrapText="1"/>
      <protection hidden="1"/>
    </xf>
    <xf numFmtId="0" fontId="92" fillId="0" borderId="0" applyNumberFormat="0" applyFill="0" applyBorder="0" applyAlignment="0" applyProtection="0"/>
    <xf numFmtId="0" fontId="93" fillId="0" borderId="0" applyBorder="0" applyProtection="0"/>
    <xf numFmtId="0" fontId="93" fillId="0" borderId="0"/>
    <xf numFmtId="0" fontId="94" fillId="0" borderId="0"/>
    <xf numFmtId="0" fontId="95" fillId="0" borderId="78">
      <alignment horizontal="centerContinuous"/>
    </xf>
    <xf numFmtId="0" fontId="96" fillId="0" borderId="0" applyAlignment="0"/>
    <xf numFmtId="170" fontId="96" fillId="0" borderId="0"/>
    <xf numFmtId="0" fontId="96" fillId="0" borderId="78" applyAlignment="0"/>
    <xf numFmtId="0" fontId="63" fillId="0" borderId="57" applyNumberFormat="0" applyFill="0" applyAlignment="0" applyProtection="0"/>
    <xf numFmtId="186" fontId="97" fillId="0" borderId="56" applyAlignment="0" applyProtection="0"/>
    <xf numFmtId="187" fontId="98" fillId="0" borderId="0" applyFont="0" applyFill="0" applyBorder="0" applyAlignment="0" applyProtection="0"/>
    <xf numFmtId="176" fontId="49" fillId="0" borderId="0" applyFont="0" applyFill="0" applyBorder="0" applyAlignment="0" applyProtection="0"/>
    <xf numFmtId="0" fontId="99" fillId="35" borderId="79" applyNumberFormat="0" applyAlignment="0" applyProtection="0"/>
    <xf numFmtId="188" fontId="100" fillId="36" borderId="0" applyNumberFormat="0" applyFont="0" applyBorder="0" applyAlignment="0"/>
    <xf numFmtId="0" fontId="101" fillId="0" borderId="0">
      <alignment horizontal="right"/>
    </xf>
    <xf numFmtId="1" fontId="102" fillId="0" borderId="0"/>
    <xf numFmtId="0" fontId="103" fillId="37" borderId="80" applyNumberFormat="0" applyAlignment="0" applyProtection="0"/>
    <xf numFmtId="0" fontId="56"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181" fontId="106" fillId="0" borderId="0" applyBorder="0">
      <alignment horizontal="right"/>
    </xf>
    <xf numFmtId="181" fontId="106" fillId="0" borderId="58" applyAlignment="0">
      <alignment horizontal="right"/>
    </xf>
    <xf numFmtId="189" fontId="56" fillId="0" borderId="0"/>
    <xf numFmtId="0" fontId="107" fillId="0" borderId="0" applyFont="0" applyBorder="0">
      <alignment horizontal="right"/>
    </xf>
    <xf numFmtId="183" fontId="108" fillId="0" borderId="0" applyFont="0" applyFill="0" applyBorder="0" applyAlignment="0" applyProtection="0"/>
    <xf numFmtId="0" fontId="50" fillId="0" borderId="0" applyFont="0" applyFill="0" applyBorder="0" applyAlignment="0" applyProtection="0">
      <alignment horizontal="right"/>
    </xf>
    <xf numFmtId="0" fontId="50" fillId="0" borderId="0" applyFont="0" applyFill="0" applyBorder="0" applyAlignment="0" applyProtection="0"/>
    <xf numFmtId="190" fontId="50" fillId="0" borderId="0" applyFont="0" applyFill="0" applyBorder="0" applyAlignment="0" applyProtection="0">
      <alignment horizontal="right"/>
    </xf>
    <xf numFmtId="0" fontId="50" fillId="0" borderId="0" applyFont="0" applyFill="0" applyBorder="0" applyAlignment="0" applyProtection="0">
      <alignment horizontal="right"/>
    </xf>
    <xf numFmtId="0" fontId="50" fillId="0" borderId="0" applyFont="0" applyFill="0" applyBorder="0" applyAlignment="0" applyProtection="0"/>
    <xf numFmtId="0" fontId="50" fillId="0" borderId="0" applyFont="0" applyFill="0" applyBorder="0" applyAlignment="0" applyProtection="0">
      <alignment horizontal="right"/>
    </xf>
    <xf numFmtId="0" fontId="50" fillId="0" borderId="0" applyFont="0" applyFill="0" applyBorder="0" applyAlignment="0" applyProtection="0"/>
    <xf numFmtId="0" fontId="50" fillId="0" borderId="0" applyFont="0" applyFill="0" applyBorder="0" applyAlignment="0" applyProtection="0"/>
    <xf numFmtId="43" fontId="19" fillId="0" borderId="0" applyFont="0" applyFill="0" applyBorder="0" applyAlignment="0" applyProtection="0"/>
    <xf numFmtId="3" fontId="109" fillId="0" borderId="0" applyFont="0" applyFill="0" applyBorder="0" applyAlignment="0" applyProtection="0"/>
    <xf numFmtId="0" fontId="49" fillId="0" borderId="0"/>
    <xf numFmtId="0" fontId="25" fillId="0" borderId="0" applyFill="0" applyBorder="0">
      <alignment horizontal="left"/>
    </xf>
    <xf numFmtId="0" fontId="110" fillId="0" borderId="0">
      <alignment horizontal="left"/>
    </xf>
    <xf numFmtId="0" fontId="111" fillId="0" borderId="0"/>
    <xf numFmtId="0" fontId="112" fillId="0" borderId="0">
      <alignment horizontal="left"/>
    </xf>
    <xf numFmtId="191" fontId="94" fillId="0" borderId="0" applyFill="0" applyBorder="0" applyProtection="0"/>
    <xf numFmtId="191" fontId="94" fillId="0" borderId="56" applyFill="0" applyProtection="0"/>
    <xf numFmtId="191" fontId="94" fillId="0" borderId="76" applyFill="0" applyProtection="0"/>
    <xf numFmtId="191" fontId="24" fillId="0" borderId="0" applyFill="0" applyBorder="0" applyProtection="0"/>
    <xf numFmtId="192" fontId="113" fillId="0" borderId="0" applyFont="0" applyFill="0" applyBorder="0" applyAlignment="0" applyProtection="0"/>
    <xf numFmtId="193" fontId="49" fillId="0" borderId="81">
      <protection locked="0"/>
    </xf>
    <xf numFmtId="0" fontId="50" fillId="0" borderId="0" applyFont="0" applyFill="0" applyBorder="0" applyAlignment="0" applyProtection="0">
      <alignment horizontal="right"/>
    </xf>
    <xf numFmtId="0" fontId="50" fillId="0" borderId="0" applyFont="0" applyFill="0" applyBorder="0" applyAlignment="0" applyProtection="0">
      <alignment horizontal="right"/>
    </xf>
    <xf numFmtId="0" fontId="114" fillId="0" borderId="0" applyFont="0" applyFill="0" applyBorder="0" applyAlignment="0" applyProtection="0"/>
    <xf numFmtId="0" fontId="50" fillId="0" borderId="0" applyFont="0" applyFill="0" applyBorder="0" applyAlignment="0" applyProtection="0">
      <alignment horizontal="right"/>
    </xf>
    <xf numFmtId="0" fontId="114" fillId="0" borderId="0" applyFont="0" applyFill="0" applyBorder="0" applyAlignment="0" applyProtection="0"/>
    <xf numFmtId="0" fontId="50" fillId="0" borderId="0" applyFont="0" applyFill="0" applyBorder="0" applyAlignment="0" applyProtection="0"/>
    <xf numFmtId="194" fontId="109" fillId="0" borderId="0" applyFont="0" applyFill="0" applyBorder="0" applyAlignment="0" applyProtection="0"/>
    <xf numFmtId="195" fontId="56" fillId="0" borderId="0" applyFill="0" applyBorder="0" applyProtection="0">
      <alignment vertical="center"/>
    </xf>
    <xf numFmtId="0" fontId="115" fillId="0" borderId="0"/>
    <xf numFmtId="0" fontId="116" fillId="0" borderId="0"/>
    <xf numFmtId="0" fontId="49" fillId="0" borderId="0" applyFont="0" applyFill="0" applyBorder="0" applyAlignment="0" applyProtection="0"/>
    <xf numFmtId="0" fontId="109"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96" fontId="56" fillId="0" borderId="0"/>
    <xf numFmtId="0" fontId="94" fillId="0" borderId="0"/>
    <xf numFmtId="17" fontId="49" fillId="2" borderId="58">
      <alignment horizontal="center"/>
    </xf>
    <xf numFmtId="197" fontId="94" fillId="0" borderId="0" applyFill="0" applyBorder="0" applyProtection="0"/>
    <xf numFmtId="197" fontId="94" fillId="0" borderId="56" applyFill="0" applyProtection="0"/>
    <xf numFmtId="197" fontId="94" fillId="0" borderId="76" applyFill="0" applyProtection="0"/>
    <xf numFmtId="197" fontId="24" fillId="0" borderId="0" applyFill="0" applyBorder="0" applyProtection="0"/>
    <xf numFmtId="0" fontId="47" fillId="0" borderId="0"/>
    <xf numFmtId="3" fontId="49" fillId="0" borderId="0" applyFont="0"/>
    <xf numFmtId="167" fontId="117" fillId="0" borderId="0"/>
    <xf numFmtId="4" fontId="117" fillId="0" borderId="0"/>
    <xf numFmtId="198" fontId="49" fillId="0" borderId="0" applyFont="0" applyFill="0" applyBorder="0" applyAlignment="0" applyProtection="0"/>
    <xf numFmtId="199" fontId="49" fillId="0" borderId="0" applyFont="0" applyFill="0" applyBorder="0" applyAlignment="0" applyProtection="0"/>
    <xf numFmtId="0" fontId="101" fillId="0" borderId="0"/>
    <xf numFmtId="186" fontId="118" fillId="0" borderId="0" applyFont="0" applyFill="0" applyBorder="0" applyAlignment="0" applyProtection="0">
      <protection locked="0"/>
    </xf>
    <xf numFmtId="0" fontId="50" fillId="0" borderId="82" applyNumberFormat="0" applyFont="0" applyFill="0" applyAlignment="0" applyProtection="0"/>
    <xf numFmtId="176" fontId="119" fillId="0" borderId="0" applyFill="0" applyBorder="0" applyAlignment="0" applyProtection="0"/>
    <xf numFmtId="200" fontId="120" fillId="27" borderId="83" applyNumberFormat="0" applyAlignment="0">
      <alignment horizontal="right" vertical="center"/>
    </xf>
    <xf numFmtId="0" fontId="121" fillId="0" borderId="0" applyNumberFormat="0" applyFill="0" applyBorder="0" applyAlignment="0" applyProtection="0"/>
    <xf numFmtId="3" fontId="49" fillId="0" borderId="2"/>
    <xf numFmtId="0" fontId="122" fillId="38" borderId="0" applyNumberFormat="0" applyBorder="0" applyAlignment="0" applyProtection="0"/>
    <xf numFmtId="0" fontId="122" fillId="39" borderId="0" applyNumberFormat="0" applyBorder="0" applyAlignment="0" applyProtection="0"/>
    <xf numFmtId="0" fontId="122" fillId="39" borderId="0" applyNumberFormat="0" applyBorder="0" applyAlignment="0" applyProtection="0"/>
    <xf numFmtId="201" fontId="55" fillId="0" borderId="0" applyFill="0" applyBorder="0" applyAlignment="0" applyProtection="0"/>
    <xf numFmtId="0" fontId="123" fillId="0" borderId="0" applyNumberFormat="0" applyFill="0" applyBorder="0" applyAlignment="0" applyProtection="0"/>
    <xf numFmtId="0" fontId="57" fillId="0" borderId="0">
      <protection locked="0"/>
    </xf>
    <xf numFmtId="0" fontId="57" fillId="0" borderId="0">
      <protection locked="0"/>
    </xf>
    <xf numFmtId="0" fontId="124" fillId="0" borderId="0">
      <protection locked="0"/>
    </xf>
    <xf numFmtId="0" fontId="57" fillId="0" borderId="0">
      <protection locked="0"/>
    </xf>
    <xf numFmtId="0" fontId="57" fillId="0" borderId="0">
      <protection locked="0"/>
    </xf>
    <xf numFmtId="0" fontId="57" fillId="0" borderId="0">
      <protection locked="0"/>
    </xf>
    <xf numFmtId="0" fontId="124" fillId="0" borderId="0">
      <protection locked="0"/>
    </xf>
    <xf numFmtId="1" fontId="125" fillId="40" borderId="38" applyNumberFormat="0" applyBorder="0" applyAlignment="0">
      <alignment horizontal="centerContinuous" vertical="center"/>
      <protection locked="0"/>
    </xf>
    <xf numFmtId="2" fontId="109" fillId="0" borderId="0" applyFont="0" applyFill="0" applyBorder="0" applyAlignment="0" applyProtection="0"/>
    <xf numFmtId="0" fontId="126" fillId="0" borderId="0">
      <alignment horizontal="left"/>
    </xf>
    <xf numFmtId="0" fontId="127" fillId="0" borderId="0">
      <alignment horizontal="left"/>
    </xf>
    <xf numFmtId="0" fontId="100" fillId="0" borderId="0" applyFill="0" applyBorder="0" applyProtection="0">
      <alignment horizontal="left"/>
    </xf>
    <xf numFmtId="0" fontId="128" fillId="0" borderId="0">
      <alignment horizontal="left"/>
    </xf>
    <xf numFmtId="202" fontId="129" fillId="0" borderId="0">
      <alignment vertical="center"/>
    </xf>
    <xf numFmtId="0" fontId="100" fillId="0" borderId="0" applyFill="0" applyBorder="0" applyProtection="0">
      <alignment horizontal="left"/>
    </xf>
    <xf numFmtId="0" fontId="130" fillId="0" borderId="0" applyNumberFormat="0" applyFill="0" applyBorder="0" applyAlignment="0" applyProtection="0"/>
    <xf numFmtId="203" fontId="131" fillId="0" borderId="52" applyNumberFormat="0" applyFill="0" applyBorder="0" applyAlignment="0" applyProtection="0"/>
    <xf numFmtId="204" fontId="132" fillId="9" borderId="0" applyBorder="0">
      <protection locked="0"/>
    </xf>
    <xf numFmtId="0" fontId="133" fillId="13" borderId="0" applyNumberFormat="0" applyBorder="0" applyAlignment="0" applyProtection="0"/>
    <xf numFmtId="38" fontId="56" fillId="2" borderId="0" applyNumberFormat="0" applyBorder="0" applyAlignment="0" applyProtection="0"/>
    <xf numFmtId="170" fontId="52" fillId="3" borderId="2" applyNumberFormat="0" applyFont="0" applyBorder="0" applyAlignment="0" applyProtection="0"/>
    <xf numFmtId="0" fontId="50" fillId="0" borderId="0" applyFont="0" applyFill="0" applyBorder="0" applyAlignment="0" applyProtection="0">
      <alignment horizontal="right"/>
    </xf>
    <xf numFmtId="173" fontId="134" fillId="3" borderId="0" applyNumberFormat="0" applyFont="0" applyAlignment="0"/>
    <xf numFmtId="0" fontId="135" fillId="0" borderId="0" applyProtection="0">
      <alignment horizontal="right"/>
    </xf>
    <xf numFmtId="0" fontId="136" fillId="0" borderId="0">
      <alignment horizontal="left"/>
    </xf>
    <xf numFmtId="0" fontId="137" fillId="0" borderId="0">
      <alignment horizontal="right"/>
    </xf>
    <xf numFmtId="0" fontId="138" fillId="0" borderId="55" applyNumberFormat="0" applyAlignment="0" applyProtection="0">
      <alignment horizontal="left" vertical="center"/>
    </xf>
    <xf numFmtId="0" fontId="138" fillId="0" borderId="37">
      <alignment horizontal="left" vertical="center"/>
    </xf>
    <xf numFmtId="0" fontId="139" fillId="34" borderId="0" applyNumberFormat="0" applyBorder="0" applyAlignment="0">
      <protection hidden="1"/>
    </xf>
    <xf numFmtId="0" fontId="140" fillId="0" borderId="0" applyNumberFormat="0" applyFill="0" applyBorder="0" applyAlignment="0" applyProtection="0"/>
    <xf numFmtId="0" fontId="141" fillId="0" borderId="0">
      <alignment horizontal="left"/>
    </xf>
    <xf numFmtId="0" fontId="142" fillId="0" borderId="48">
      <alignment horizontal="left" vertical="top"/>
    </xf>
    <xf numFmtId="0" fontId="143" fillId="0" borderId="48">
      <alignment horizontal="left" vertical="top"/>
    </xf>
    <xf numFmtId="0" fontId="144" fillId="0" borderId="0" applyNumberFormat="0" applyFill="0" applyBorder="0" applyAlignment="0" applyProtection="0"/>
    <xf numFmtId="0" fontId="145" fillId="0" borderId="0">
      <alignment horizontal="left"/>
    </xf>
    <xf numFmtId="0" fontId="146" fillId="0" borderId="0" applyProtection="0">
      <alignment horizontal="left"/>
    </xf>
    <xf numFmtId="0" fontId="147" fillId="0" borderId="48">
      <alignment horizontal="left" vertical="top"/>
    </xf>
    <xf numFmtId="0" fontId="148" fillId="0" borderId="84" applyNumberFormat="0" applyFill="0" applyAlignment="0" applyProtection="0"/>
    <xf numFmtId="0" fontId="149" fillId="0" borderId="0">
      <alignment horizontal="left"/>
    </xf>
    <xf numFmtId="0" fontId="148" fillId="0" borderId="0" applyNumberFormat="0" applyFill="0" applyBorder="0" applyAlignment="0" applyProtection="0"/>
    <xf numFmtId="0" fontId="150" fillId="0" borderId="57">
      <alignment horizontal="center"/>
    </xf>
    <xf numFmtId="0" fontId="85" fillId="0" borderId="0" applyNumberFormat="0" applyFill="0" applyBorder="0" applyAlignment="0" applyProtection="0">
      <alignment horizontal="left"/>
    </xf>
    <xf numFmtId="0" fontId="151" fillId="0" borderId="0" applyNumberFormat="0" applyFill="0" applyBorder="0" applyAlignment="0" applyProtection="0">
      <alignment horizontal="center"/>
    </xf>
    <xf numFmtId="0" fontId="152" fillId="0" borderId="0" applyNumberFormat="0" applyFill="0" applyBorder="0" applyAlignment="0" applyProtection="0">
      <alignment horizontal="center"/>
    </xf>
    <xf numFmtId="0" fontId="153" fillId="0" borderId="85" applyNumberFormat="0" applyFill="0" applyBorder="0" applyAlignment="0" applyProtection="0">
      <alignment horizontal="left"/>
    </xf>
    <xf numFmtId="0" fontId="49" fillId="0" borderId="0"/>
    <xf numFmtId="0" fontId="49" fillId="0" borderId="0"/>
    <xf numFmtId="170" fontId="154" fillId="0" borderId="0"/>
    <xf numFmtId="0" fontId="9" fillId="0" borderId="0" applyNumberFormat="0" applyFill="0" applyBorder="0" applyAlignment="0" applyProtection="0">
      <alignment vertical="top"/>
      <protection locked="0"/>
    </xf>
    <xf numFmtId="0" fontId="19" fillId="0" borderId="0"/>
    <xf numFmtId="1" fontId="155" fillId="0" borderId="0"/>
    <xf numFmtId="0" fontId="156" fillId="0" borderId="0"/>
    <xf numFmtId="186" fontId="157" fillId="2" borderId="47" applyNumberFormat="0" applyFont="0" applyBorder="0" applyAlignment="0" applyProtection="0">
      <alignment horizontal="right"/>
    </xf>
    <xf numFmtId="0" fontId="158" fillId="16" borderId="79" applyNumberFormat="0" applyAlignment="0" applyProtection="0"/>
    <xf numFmtId="10" fontId="56" fillId="41" borderId="2" applyNumberFormat="0" applyBorder="0" applyAlignment="0" applyProtection="0"/>
    <xf numFmtId="205" fontId="159" fillId="0" borderId="86" applyFill="0" applyBorder="0" applyAlignment="0" applyProtection="0"/>
    <xf numFmtId="0" fontId="160" fillId="0" borderId="0" applyNumberFormat="0" applyFill="0" applyBorder="0" applyAlignment="0">
      <protection locked="0"/>
    </xf>
    <xf numFmtId="0" fontId="161" fillId="42" borderId="56" applyNumberFormat="0" applyFont="0" applyBorder="0" applyAlignment="0" applyProtection="0">
      <alignment horizontal="left"/>
      <protection locked="0"/>
    </xf>
    <xf numFmtId="206" fontId="56" fillId="0" borderId="0" applyFill="0" applyBorder="0" applyProtection="0">
      <alignment vertical="center"/>
    </xf>
    <xf numFmtId="195" fontId="56" fillId="0" borderId="0" applyFill="0" applyBorder="0" applyProtection="0">
      <alignment vertical="center"/>
    </xf>
    <xf numFmtId="207" fontId="56" fillId="0" borderId="0" applyFill="0" applyBorder="0" applyProtection="0">
      <alignment vertical="center"/>
    </xf>
    <xf numFmtId="208" fontId="56" fillId="0" borderId="0" applyFill="0" applyBorder="0" applyProtection="0">
      <alignment vertical="center"/>
    </xf>
    <xf numFmtId="0" fontId="101" fillId="0" borderId="0"/>
    <xf numFmtId="209" fontId="162" fillId="43" borderId="2" applyNumberFormat="0" applyFont="0" applyBorder="0" applyAlignment="0">
      <alignment horizontal="right"/>
    </xf>
    <xf numFmtId="209" fontId="163" fillId="43" borderId="2" applyNumberFormat="0" applyAlignment="0">
      <alignment horizontal="right"/>
    </xf>
    <xf numFmtId="209" fontId="162" fillId="43" borderId="2" applyNumberFormat="0" applyAlignment="0">
      <alignment horizontal="right"/>
    </xf>
    <xf numFmtId="38" fontId="164" fillId="0" borderId="0"/>
    <xf numFmtId="38" fontId="165" fillId="0" borderId="0"/>
    <xf numFmtId="38" fontId="166" fillId="0" borderId="0"/>
    <xf numFmtId="38" fontId="167" fillId="0" borderId="0"/>
    <xf numFmtId="0" fontId="168" fillId="0" borderId="0"/>
    <xf numFmtId="0" fontId="168" fillId="0" borderId="0"/>
    <xf numFmtId="0" fontId="169" fillId="0" borderId="87" applyNumberFormat="0" applyFill="0" applyAlignment="0" applyProtection="0"/>
    <xf numFmtId="0" fontId="170" fillId="0" borderId="0" applyNumberFormat="0" applyAlignment="0"/>
    <xf numFmtId="0" fontId="49" fillId="0" borderId="88"/>
    <xf numFmtId="0" fontId="170" fillId="0" borderId="78"/>
    <xf numFmtId="0" fontId="49" fillId="0" borderId="0"/>
    <xf numFmtId="0" fontId="56" fillId="0" borderId="0" applyFont="0" applyFill="0" applyBorder="0" applyAlignment="0" applyProtection="0"/>
    <xf numFmtId="2" fontId="171" fillId="0" borderId="41" applyFont="0" applyFill="0" applyBorder="0" applyAlignment="0"/>
    <xf numFmtId="37" fontId="49" fillId="0" borderId="0" applyFont="0" applyFill="0" applyBorder="0" applyAlignment="0" applyProtection="0"/>
    <xf numFmtId="0" fontId="172" fillId="5" borderId="89">
      <alignment horizontal="left" vertical="top" indent="2"/>
    </xf>
    <xf numFmtId="210" fontId="49" fillId="0" borderId="0" applyFont="0" applyFill="0" applyBorder="0" applyAlignment="0" applyProtection="0"/>
    <xf numFmtId="211" fontId="173" fillId="0" borderId="2">
      <alignment horizontal="right"/>
      <protection locked="0"/>
    </xf>
    <xf numFmtId="212" fontId="49" fillId="0" borderId="0" applyFont="0" applyFill="0" applyBorder="0" applyAlignment="0" applyProtection="0"/>
    <xf numFmtId="213" fontId="49" fillId="0" borderId="0" applyFont="0" applyFill="0" applyBorder="0" applyAlignment="0" applyProtection="0"/>
    <xf numFmtId="214" fontId="56" fillId="41" borderId="0">
      <alignment horizontal="center"/>
    </xf>
    <xf numFmtId="0" fontId="174" fillId="0" borderId="0"/>
    <xf numFmtId="215" fontId="94" fillId="0" borderId="0" applyFont="0" applyFill="0" applyBorder="0" applyProtection="0"/>
    <xf numFmtId="216" fontId="50" fillId="0" borderId="0" applyFont="0" applyFill="0" applyBorder="0" applyAlignment="0" applyProtection="0"/>
    <xf numFmtId="188" fontId="113" fillId="0" borderId="0" applyFont="0" applyFill="0" applyBorder="0" applyAlignment="0" applyProtection="0"/>
    <xf numFmtId="217" fontId="50" fillId="0" borderId="0" applyFont="0" applyFill="0" applyBorder="0" applyAlignment="0" applyProtection="0">
      <alignment horizontal="right"/>
    </xf>
    <xf numFmtId="207" fontId="56" fillId="0" borderId="0" applyFill="0" applyBorder="0" applyProtection="0">
      <alignment vertical="center"/>
    </xf>
    <xf numFmtId="0" fontId="50" fillId="0" borderId="0" applyFont="0" applyFill="0" applyBorder="0" applyAlignment="0" applyProtection="0">
      <alignment horizontal="right"/>
    </xf>
    <xf numFmtId="199" fontId="2" fillId="0" borderId="0"/>
    <xf numFmtId="0" fontId="49" fillId="0" borderId="0"/>
    <xf numFmtId="0" fontId="175" fillId="44" borderId="0" applyNumberFormat="0" applyBorder="0" applyAlignment="0" applyProtection="0"/>
    <xf numFmtId="0" fontId="176" fillId="0" borderId="0">
      <alignment horizontal="centerContinuous"/>
    </xf>
    <xf numFmtId="0" fontId="177" fillId="0" borderId="0"/>
    <xf numFmtId="37" fontId="178" fillId="0" borderId="0"/>
    <xf numFmtId="218" fontId="49" fillId="0" borderId="0" applyFill="0" applyBorder="0" applyAlignment="0" applyProtection="0"/>
    <xf numFmtId="219" fontId="49" fillId="0" borderId="56" applyFont="0" applyFill="0" applyBorder="0" applyAlignment="0" applyProtection="0"/>
    <xf numFmtId="0" fontId="59" fillId="0" borderId="90"/>
    <xf numFmtId="0" fontId="61" fillId="0" borderId="0" applyNumberFormat="0" applyFill="0" applyBorder="0" applyAlignment="0" applyProtection="0"/>
    <xf numFmtId="0" fontId="49" fillId="0" borderId="0"/>
    <xf numFmtId="0" fontId="179" fillId="0" borderId="0">
      <alignment horizontal="right"/>
    </xf>
    <xf numFmtId="0" fontId="19" fillId="0" borderId="0"/>
    <xf numFmtId="220" fontId="56" fillId="0" borderId="0" applyFill="0" applyBorder="0" applyProtection="0">
      <alignment vertical="center"/>
    </xf>
    <xf numFmtId="0" fontId="49" fillId="0" borderId="0"/>
    <xf numFmtId="0" fontId="145" fillId="0" borderId="0"/>
    <xf numFmtId="9" fontId="180" fillId="0" borderId="0"/>
    <xf numFmtId="0" fontId="53" fillId="0" borderId="0"/>
    <xf numFmtId="0" fontId="49" fillId="45" borderId="83" applyNumberFormat="0" applyFont="0" applyAlignment="0" applyProtection="0"/>
    <xf numFmtId="0" fontId="50" fillId="0" borderId="0" applyFont="0" applyFill="0" applyBorder="0" applyAlignment="0" applyProtection="0"/>
    <xf numFmtId="0" fontId="181" fillId="0" borderId="47"/>
    <xf numFmtId="221" fontId="48" fillId="0" borderId="0" applyFont="0" applyFill="0" applyBorder="0" applyProtection="0">
      <alignment horizontal="right"/>
    </xf>
    <xf numFmtId="222" fontId="182" fillId="0" borderId="2" applyBorder="0">
      <alignment horizontal="center"/>
    </xf>
    <xf numFmtId="223" fontId="183" fillId="0" borderId="2" applyBorder="0">
      <alignment horizontal="center"/>
    </xf>
    <xf numFmtId="199" fontId="61" fillId="0" borderId="0"/>
    <xf numFmtId="224" fontId="50" fillId="0" borderId="0" applyNumberFormat="0" applyFill="0" applyBorder="0" applyAlignment="0" applyProtection="0"/>
    <xf numFmtId="0" fontId="52" fillId="0" borderId="0" applyNumberFormat="0" applyFill="0" applyBorder="0" applyAlignment="0" applyProtection="0"/>
    <xf numFmtId="224"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25" fontId="61" fillId="0" borderId="0"/>
    <xf numFmtId="226" fontId="19" fillId="0" borderId="0" applyFont="0" applyFill="0" applyBorder="0" applyAlignment="0" applyProtection="0"/>
    <xf numFmtId="227" fontId="19" fillId="0" borderId="0" applyFont="0" applyFill="0" applyBorder="0" applyAlignment="0" applyProtection="0"/>
    <xf numFmtId="228" fontId="19" fillId="0" borderId="0" applyFont="0" applyFill="0" applyBorder="0" applyAlignment="0" applyProtection="0"/>
    <xf numFmtId="229" fontId="19"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30" fontId="49"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31" fontId="24" fillId="0" borderId="0" applyFont="0" applyFill="0" applyBorder="0" applyAlignment="0" applyProtection="0"/>
    <xf numFmtId="198" fontId="24" fillId="0" borderId="0" applyFont="0" applyFill="0" applyBorder="0" applyAlignment="0" applyProtection="0"/>
    <xf numFmtId="0" fontId="93" fillId="0" borderId="0" applyBorder="0" applyProtection="0"/>
    <xf numFmtId="0" fontId="184" fillId="0" borderId="0">
      <alignment horizontal="left"/>
    </xf>
    <xf numFmtId="0" fontId="185" fillId="35" borderId="91" applyNumberFormat="0" applyAlignment="0" applyProtection="0"/>
    <xf numFmtId="0" fontId="186" fillId="6" borderId="0"/>
    <xf numFmtId="1" fontId="187" fillId="0" borderId="0" applyProtection="0">
      <alignment horizontal="right" vertical="center"/>
    </xf>
    <xf numFmtId="170" fontId="47" fillId="0" borderId="0"/>
    <xf numFmtId="9" fontId="188" fillId="0" borderId="0" applyFont="0" applyFill="0" applyBorder="0" applyAlignment="0" applyProtection="0"/>
    <xf numFmtId="170" fontId="188" fillId="0" borderId="0" applyFont="0" applyFill="0" applyBorder="0" applyAlignment="0" applyProtection="0"/>
    <xf numFmtId="10" fontId="49" fillId="0" borderId="0" applyFont="0" applyFill="0" applyBorder="0" applyAlignment="0" applyProtection="0"/>
    <xf numFmtId="0" fontId="114" fillId="0" borderId="0" applyFont="0" applyFill="0" applyBorder="0" applyAlignment="0" applyProtection="0"/>
    <xf numFmtId="208" fontId="56" fillId="0" borderId="0" applyFill="0" applyBorder="0" applyProtection="0">
      <alignment vertical="center"/>
    </xf>
    <xf numFmtId="192" fontId="189" fillId="0" borderId="0">
      <alignment horizontal="right"/>
    </xf>
    <xf numFmtId="232" fontId="51" fillId="0" borderId="0"/>
    <xf numFmtId="193" fontId="52" fillId="0" borderId="0" applyFont="0" applyFill="0" applyBorder="0" applyAlignment="0" applyProtection="0"/>
    <xf numFmtId="0" fontId="190" fillId="46" borderId="0" applyNumberFormat="0" applyBorder="0" applyAlignment="0" applyProtection="0"/>
    <xf numFmtId="233" fontId="191" fillId="0" borderId="92" applyBorder="0">
      <alignment horizontal="right"/>
      <protection locked="0"/>
    </xf>
    <xf numFmtId="167" fontId="162" fillId="47" borderId="2">
      <alignment horizontal="right"/>
    </xf>
    <xf numFmtId="185" fontId="192" fillId="2" borderId="0" applyBorder="0" applyAlignment="0">
      <protection hidden="1"/>
    </xf>
    <xf numFmtId="1" fontId="192" fillId="2" borderId="0">
      <alignment horizontal="center"/>
    </xf>
    <xf numFmtId="0" fontId="60" fillId="0" borderId="0" applyNumberFormat="0" applyFont="0" applyFill="0" applyBorder="0" applyAlignment="0" applyProtection="0">
      <alignment horizontal="left"/>
    </xf>
    <xf numFmtId="0" fontId="193" fillId="0" borderId="58">
      <alignment horizontal="center"/>
    </xf>
    <xf numFmtId="0" fontId="94" fillId="0" borderId="0">
      <alignment vertical="top"/>
    </xf>
    <xf numFmtId="0" fontId="94" fillId="0" borderId="0">
      <alignment vertical="top"/>
    </xf>
    <xf numFmtId="0" fontId="24" fillId="0" borderId="0">
      <alignment vertical="top"/>
    </xf>
    <xf numFmtId="0" fontId="94" fillId="0" borderId="0">
      <alignment vertical="top"/>
    </xf>
    <xf numFmtId="0" fontId="94" fillId="0" borderId="0">
      <alignment vertical="top"/>
    </xf>
    <xf numFmtId="173" fontId="24" fillId="0" borderId="0">
      <alignment vertical="top"/>
    </xf>
    <xf numFmtId="0" fontId="24" fillId="0" borderId="0">
      <alignment vertical="top"/>
    </xf>
    <xf numFmtId="173" fontId="24" fillId="0" borderId="0">
      <alignment vertical="top"/>
    </xf>
    <xf numFmtId="0" fontId="24" fillId="0" borderId="0">
      <alignment vertical="top"/>
    </xf>
    <xf numFmtId="0" fontId="24" fillId="0" borderId="0">
      <alignment vertical="top"/>
    </xf>
    <xf numFmtId="173" fontId="94" fillId="0" borderId="0">
      <alignment vertical="top"/>
    </xf>
    <xf numFmtId="173" fontId="94" fillId="0" borderId="0">
      <alignment vertical="top"/>
    </xf>
    <xf numFmtId="173" fontId="24" fillId="0" borderId="0">
      <alignment vertical="top"/>
    </xf>
    <xf numFmtId="0" fontId="9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0" fontId="94" fillId="0" borderId="0">
      <alignment vertical="top"/>
    </xf>
    <xf numFmtId="0" fontId="94" fillId="0" borderId="0">
      <alignment vertical="top"/>
    </xf>
    <xf numFmtId="173" fontId="24" fillId="0" borderId="0">
      <alignment vertical="top"/>
    </xf>
    <xf numFmtId="0" fontId="24" fillId="0" borderId="0">
      <alignment vertical="top"/>
    </xf>
    <xf numFmtId="173" fontId="24" fillId="0" borderId="0">
      <alignment vertical="top"/>
    </xf>
    <xf numFmtId="0" fontId="24" fillId="0" borderId="0">
      <alignment vertical="top"/>
    </xf>
    <xf numFmtId="0" fontId="24" fillId="0" borderId="0">
      <alignment vertical="top"/>
    </xf>
    <xf numFmtId="173" fontId="94" fillId="0" borderId="0">
      <alignment vertical="top"/>
    </xf>
    <xf numFmtId="173" fontId="94" fillId="0" borderId="0">
      <alignment vertical="top"/>
    </xf>
    <xf numFmtId="173" fontId="24" fillId="0" borderId="0">
      <alignment vertical="top"/>
    </xf>
    <xf numFmtId="0" fontId="9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0" fontId="94" fillId="0" borderId="0">
      <alignment vertical="top"/>
    </xf>
    <xf numFmtId="0" fontId="94" fillId="0" borderId="0">
      <alignment vertical="top"/>
    </xf>
    <xf numFmtId="173" fontId="24" fillId="0" borderId="0">
      <alignment vertical="top"/>
    </xf>
    <xf numFmtId="0" fontId="24" fillId="0" borderId="0">
      <alignment vertical="top"/>
    </xf>
    <xf numFmtId="0" fontId="94" fillId="0" borderId="0">
      <alignment vertical="top"/>
    </xf>
    <xf numFmtId="0" fontId="94" fillId="0" borderId="0">
      <alignment vertical="top"/>
    </xf>
    <xf numFmtId="173" fontId="24" fillId="0" borderId="0">
      <alignment vertical="top"/>
    </xf>
    <xf numFmtId="0" fontId="24" fillId="0" borderId="0">
      <alignment vertical="top"/>
    </xf>
    <xf numFmtId="173" fontId="24" fillId="0" borderId="0">
      <alignment vertical="top"/>
    </xf>
    <xf numFmtId="0" fontId="24" fillId="0" borderId="0">
      <alignment vertical="top"/>
    </xf>
    <xf numFmtId="0" fontId="24" fillId="0" borderId="0">
      <alignment vertical="top"/>
    </xf>
    <xf numFmtId="173" fontId="94" fillId="0" borderId="0">
      <alignment vertical="top"/>
    </xf>
    <xf numFmtId="173" fontId="94" fillId="0" borderId="0">
      <alignment vertical="top"/>
    </xf>
    <xf numFmtId="173" fontId="24" fillId="0" borderId="0">
      <alignment vertical="top"/>
    </xf>
    <xf numFmtId="0" fontId="9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0" fontId="24" fillId="0" borderId="0">
      <alignment vertical="top"/>
    </xf>
    <xf numFmtId="0" fontId="24" fillId="0" borderId="0">
      <alignment vertical="top"/>
    </xf>
    <xf numFmtId="173" fontId="94" fillId="0" borderId="0">
      <alignment vertical="top"/>
    </xf>
    <xf numFmtId="173" fontId="94" fillId="0" borderId="0">
      <alignment vertical="top"/>
    </xf>
    <xf numFmtId="173" fontId="24" fillId="0" borderId="0">
      <alignment vertical="top"/>
    </xf>
    <xf numFmtId="0" fontId="9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0" fontId="94" fillId="0" borderId="0">
      <alignment vertical="top"/>
    </xf>
    <xf numFmtId="0" fontId="94" fillId="0" borderId="0">
      <alignment vertical="top"/>
    </xf>
    <xf numFmtId="173" fontId="24" fillId="0" borderId="0">
      <alignment vertical="top"/>
    </xf>
    <xf numFmtId="0" fontId="24" fillId="0" borderId="0">
      <alignment vertical="top"/>
    </xf>
    <xf numFmtId="173" fontId="24" fillId="0" borderId="0">
      <alignment vertical="top"/>
    </xf>
    <xf numFmtId="0" fontId="24" fillId="0" borderId="0">
      <alignment vertical="top"/>
    </xf>
    <xf numFmtId="0" fontId="24" fillId="0" borderId="0">
      <alignment vertical="top"/>
    </xf>
    <xf numFmtId="173" fontId="94" fillId="0" borderId="0">
      <alignment vertical="top"/>
    </xf>
    <xf numFmtId="173" fontId="94" fillId="0" borderId="0">
      <alignment vertical="top"/>
    </xf>
    <xf numFmtId="173" fontId="24" fillId="0" borderId="0">
      <alignment vertical="top"/>
    </xf>
    <xf numFmtId="0" fontId="9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0" fontId="24" fillId="0" borderId="0">
      <alignment vertical="top"/>
    </xf>
    <xf numFmtId="0" fontId="94" fillId="0" borderId="0">
      <alignment vertical="top"/>
    </xf>
    <xf numFmtId="0" fontId="24" fillId="0" borderId="0">
      <alignment vertical="top"/>
    </xf>
    <xf numFmtId="0" fontId="24" fillId="0" borderId="0">
      <alignment vertical="top"/>
    </xf>
    <xf numFmtId="0" fontId="24" fillId="0" borderId="0">
      <alignment vertical="top"/>
    </xf>
    <xf numFmtId="0" fontId="94" fillId="0" borderId="0">
      <alignment vertical="top"/>
    </xf>
    <xf numFmtId="0" fontId="94" fillId="0" borderId="0">
      <alignment vertical="top"/>
    </xf>
    <xf numFmtId="173" fontId="24" fillId="0" borderId="0">
      <alignment vertical="top"/>
    </xf>
    <xf numFmtId="0" fontId="24" fillId="0" borderId="0">
      <alignment vertical="top"/>
    </xf>
    <xf numFmtId="173" fontId="24" fillId="0" borderId="0">
      <alignment vertical="top"/>
    </xf>
    <xf numFmtId="0" fontId="24" fillId="0" borderId="0">
      <alignment vertical="top"/>
    </xf>
    <xf numFmtId="0" fontId="24" fillId="0" borderId="0">
      <alignment vertical="top"/>
    </xf>
    <xf numFmtId="173" fontId="94" fillId="0" borderId="0">
      <alignment vertical="top"/>
    </xf>
    <xf numFmtId="173" fontId="94" fillId="0" borderId="0">
      <alignment vertical="top"/>
    </xf>
    <xf numFmtId="173" fontId="24" fillId="0" borderId="0">
      <alignment vertical="top"/>
    </xf>
    <xf numFmtId="0" fontId="9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0" fontId="24" fillId="0" borderId="0">
      <alignment vertical="top"/>
    </xf>
    <xf numFmtId="0" fontId="94" fillId="0" borderId="0">
      <alignment vertical="top"/>
    </xf>
    <xf numFmtId="0" fontId="94" fillId="0" borderId="0">
      <alignment vertical="top"/>
    </xf>
    <xf numFmtId="173" fontId="24" fillId="0" borderId="0">
      <alignment vertical="top"/>
    </xf>
    <xf numFmtId="0" fontId="24" fillId="0" borderId="0">
      <alignment vertical="top"/>
    </xf>
    <xf numFmtId="0" fontId="94" fillId="0" borderId="0">
      <alignment vertical="top"/>
    </xf>
    <xf numFmtId="0" fontId="94" fillId="0" borderId="0">
      <alignment vertical="top"/>
    </xf>
    <xf numFmtId="0" fontId="24" fillId="0" borderId="0">
      <alignment vertical="top"/>
    </xf>
    <xf numFmtId="0" fontId="24" fillId="0" borderId="0">
      <alignment vertical="top"/>
    </xf>
    <xf numFmtId="0" fontId="9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4" fillId="0" borderId="0">
      <alignment vertical="top"/>
    </xf>
    <xf numFmtId="0" fontId="94" fillId="0" borderId="0">
      <alignment vertical="top"/>
    </xf>
    <xf numFmtId="0" fontId="24" fillId="0" borderId="0">
      <alignment vertical="top"/>
    </xf>
    <xf numFmtId="0" fontId="24" fillId="0" borderId="0">
      <alignment vertical="top"/>
    </xf>
    <xf numFmtId="0" fontId="9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4" fillId="0" borderId="0">
      <alignment vertical="top"/>
    </xf>
    <xf numFmtId="0" fontId="94" fillId="0" borderId="0">
      <alignment vertical="top"/>
    </xf>
    <xf numFmtId="0" fontId="24" fillId="0" borderId="0">
      <alignment vertical="top"/>
    </xf>
    <xf numFmtId="0" fontId="24" fillId="0" borderId="0">
      <alignment vertical="top"/>
    </xf>
    <xf numFmtId="0" fontId="9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4" fillId="0" borderId="0">
      <alignment vertical="top"/>
    </xf>
    <xf numFmtId="0" fontId="94" fillId="0" borderId="0">
      <alignment vertical="top"/>
    </xf>
    <xf numFmtId="0" fontId="24" fillId="0" borderId="0">
      <alignment vertical="top"/>
    </xf>
    <xf numFmtId="0" fontId="24" fillId="0" borderId="0">
      <alignment vertical="top"/>
    </xf>
    <xf numFmtId="0" fontId="9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3" fontId="24" fillId="0" borderId="0">
      <alignment vertical="top"/>
    </xf>
    <xf numFmtId="0" fontId="24" fillId="0" borderId="0">
      <alignment vertical="top"/>
    </xf>
    <xf numFmtId="0" fontId="24" fillId="0" borderId="0">
      <alignment vertical="top"/>
    </xf>
    <xf numFmtId="173" fontId="94" fillId="0" borderId="0">
      <alignment vertical="top"/>
    </xf>
    <xf numFmtId="173" fontId="94" fillId="0" borderId="0">
      <alignment vertical="top"/>
    </xf>
    <xf numFmtId="173" fontId="24" fillId="0" borderId="0">
      <alignment vertical="top"/>
    </xf>
    <xf numFmtId="0" fontId="9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0" fontId="94" fillId="0" borderId="0">
      <alignment vertical="top"/>
    </xf>
    <xf numFmtId="0" fontId="94" fillId="0" borderId="0">
      <alignment vertical="top"/>
    </xf>
    <xf numFmtId="0" fontId="24" fillId="0" borderId="0">
      <alignment vertical="top"/>
    </xf>
    <xf numFmtId="0" fontId="24" fillId="0" borderId="0">
      <alignment vertical="top"/>
    </xf>
    <xf numFmtId="0" fontId="9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4" fillId="0" borderId="0">
      <alignment vertical="top"/>
    </xf>
    <xf numFmtId="0" fontId="94" fillId="0" borderId="0">
      <alignment vertical="top"/>
    </xf>
    <xf numFmtId="173" fontId="24" fillId="0" borderId="0">
      <alignment vertical="top"/>
    </xf>
    <xf numFmtId="0" fontId="24" fillId="0" borderId="0">
      <alignment vertical="top"/>
    </xf>
    <xf numFmtId="173" fontId="24" fillId="0" borderId="0">
      <alignment vertical="top"/>
    </xf>
    <xf numFmtId="0" fontId="24" fillId="0" borderId="0">
      <alignment vertical="top"/>
    </xf>
    <xf numFmtId="0" fontId="24" fillId="0" borderId="0">
      <alignment vertical="top"/>
    </xf>
    <xf numFmtId="173" fontId="94" fillId="0" borderId="0">
      <alignment vertical="top"/>
    </xf>
    <xf numFmtId="173" fontId="94" fillId="0" borderId="0">
      <alignment vertical="top"/>
    </xf>
    <xf numFmtId="173" fontId="24" fillId="0" borderId="0">
      <alignment vertical="top"/>
    </xf>
    <xf numFmtId="0" fontId="94" fillId="0" borderId="0">
      <alignment vertical="top"/>
    </xf>
    <xf numFmtId="173" fontId="24" fillId="0" borderId="0">
      <alignment vertical="top"/>
    </xf>
    <xf numFmtId="173" fontId="24" fillId="0" borderId="0">
      <alignment vertical="top"/>
    </xf>
    <xf numFmtId="173" fontId="24" fillId="0" borderId="0">
      <alignment vertical="top"/>
    </xf>
    <xf numFmtId="173" fontId="24" fillId="0" borderId="0">
      <alignment vertical="top"/>
    </xf>
    <xf numFmtId="234" fontId="24" fillId="5" borderId="0"/>
    <xf numFmtId="0" fontId="127" fillId="0" borderId="93">
      <alignment vertical="center"/>
    </xf>
    <xf numFmtId="230" fontId="194" fillId="0" borderId="94" applyNumberFormat="0" applyFont="0" applyFill="0" applyBorder="0" applyAlignment="0">
      <alignment vertical="center"/>
    </xf>
    <xf numFmtId="209" fontId="151" fillId="1" borderId="0" applyNumberFormat="0" applyBorder="0" applyAlignment="0" applyProtection="0"/>
    <xf numFmtId="0" fontId="195" fillId="0" borderId="0" applyNumberFormat="0" applyFill="0" applyBorder="0" applyAlignment="0" applyProtection="0"/>
    <xf numFmtId="176" fontId="98" fillId="0" borderId="0" applyFill="0" applyBorder="0" applyAlignment="0" applyProtection="0"/>
    <xf numFmtId="0" fontId="67" fillId="0" borderId="0" applyNumberFormat="0" applyFill="0" applyBorder="0" applyAlignment="0" applyProtection="0">
      <alignment horizontal="center"/>
    </xf>
    <xf numFmtId="1" fontId="157" fillId="0" borderId="0" applyNumberFormat="0" applyFont="0" applyBorder="0" applyAlignment="0" applyProtection="0">
      <alignment horizontal="right"/>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0" fontId="197" fillId="0" borderId="0" applyNumberFormat="0" applyFill="0" applyBorder="0" applyAlignment="0" applyProtection="0"/>
    <xf numFmtId="0" fontId="198" fillId="0" borderId="0" applyNumberFormat="0" applyFill="0" applyBorder="0" applyAlignment="0" applyProtection="0"/>
    <xf numFmtId="0" fontId="197" fillId="0" borderId="0" applyNumberFormat="0" applyFill="0" applyBorder="0" applyProtection="0">
      <alignment horizontal="center"/>
    </xf>
    <xf numFmtId="0" fontId="198" fillId="0" borderId="0" applyNumberFormat="0" applyFill="0" applyBorder="0" applyProtection="0">
      <alignment horizontal="center"/>
    </xf>
    <xf numFmtId="0" fontId="198" fillId="48" borderId="0" applyNumberFormat="0" applyBorder="0" applyAlignment="0" applyProtection="0"/>
    <xf numFmtId="4" fontId="197" fillId="0" borderId="0" applyFill="0" applyBorder="0" applyAlignment="0" applyProtection="0"/>
    <xf numFmtId="235" fontId="49" fillId="0" borderId="0" applyFill="0" applyBorder="0" applyAlignment="0" applyProtection="0">
      <alignment wrapText="1"/>
    </xf>
    <xf numFmtId="0" fontId="199" fillId="49" borderId="0" applyNumberFormat="0" applyBorder="0" applyAlignment="0" applyProtection="0"/>
    <xf numFmtId="4" fontId="200" fillId="0" borderId="0" applyFill="0" applyBorder="0" applyAlignment="0" applyProtection="0"/>
    <xf numFmtId="0" fontId="201" fillId="0" borderId="0" applyNumberFormat="0" applyFill="0" applyBorder="0" applyAlignment="0" applyProtection="0"/>
    <xf numFmtId="0" fontId="198" fillId="46" borderId="0" applyNumberFormat="0" applyBorder="0" applyAlignment="0" applyProtection="0"/>
    <xf numFmtId="0" fontId="202" fillId="0" borderId="0" applyNumberFormat="0" applyFill="0" applyBorder="0">
      <alignment horizontal="center" wrapText="1"/>
    </xf>
    <xf numFmtId="0" fontId="202" fillId="0" borderId="0" applyNumberFormat="0" applyFill="0" applyBorder="0">
      <alignment horizontal="center" wrapText="1"/>
    </xf>
    <xf numFmtId="0" fontId="203" fillId="5" borderId="0" applyNumberFormat="0" applyProtection="0">
      <alignment horizontal="center" vertical="center"/>
    </xf>
    <xf numFmtId="4" fontId="204" fillId="5" borderId="0" applyProtection="0">
      <alignment horizontal="center" vertical="center"/>
    </xf>
    <xf numFmtId="0" fontId="205" fillId="5" borderId="0" applyNumberFormat="0" applyProtection="0">
      <alignment horizontal="center" vertical="center"/>
    </xf>
    <xf numFmtId="4" fontId="206" fillId="5" borderId="0" applyProtection="0">
      <alignment horizontal="center" vertical="center"/>
    </xf>
    <xf numFmtId="0" fontId="207" fillId="50" borderId="0" applyNumberFormat="0" applyProtection="0">
      <alignment horizontal="center" vertical="center"/>
    </xf>
    <xf numFmtId="4" fontId="208" fillId="50" borderId="0" applyProtection="0">
      <alignment horizontal="center" vertical="center"/>
    </xf>
    <xf numFmtId="0" fontId="196" fillId="5" borderId="0" applyNumberFormat="0" applyProtection="0">
      <alignment horizontal="center" vertical="center"/>
    </xf>
    <xf numFmtId="4" fontId="209" fillId="5" borderId="0" applyProtection="0">
      <alignment horizontal="center" vertical="center"/>
    </xf>
    <xf numFmtId="0" fontId="210" fillId="51" borderId="0" applyNumberFormat="0" applyProtection="0">
      <alignment horizontal="center" vertical="center"/>
    </xf>
    <xf numFmtId="4" fontId="211" fillId="51" borderId="0" applyProtection="0">
      <alignment horizontal="center" vertical="center"/>
    </xf>
    <xf numFmtId="0" fontId="212" fillId="5" borderId="0" applyNumberFormat="0" applyProtection="0">
      <alignment horizontal="center" vertical="center" wrapText="1"/>
    </xf>
    <xf numFmtId="0" fontId="213" fillId="5" borderId="0" applyNumberFormat="0" applyProtection="0">
      <alignment horizontal="center" vertical="center" wrapText="1"/>
    </xf>
    <xf numFmtId="0" fontId="214" fillId="50" borderId="0" applyNumberFormat="0" applyProtection="0">
      <alignment horizontal="center" vertical="center" wrapText="1"/>
    </xf>
    <xf numFmtId="0" fontId="215" fillId="5" borderId="0" applyNumberFormat="0" applyProtection="0">
      <alignment horizontal="center" vertical="center" wrapText="1"/>
    </xf>
    <xf numFmtId="0" fontId="212" fillId="5" borderId="0" applyNumberFormat="0" applyProtection="0">
      <alignment horizontal="center" vertical="center" wrapText="1"/>
    </xf>
    <xf numFmtId="0" fontId="216" fillId="51" borderId="0" applyNumberFormat="0" applyProtection="0">
      <alignment horizontal="center" vertical="center" wrapText="1"/>
    </xf>
    <xf numFmtId="0" fontId="213" fillId="5" borderId="0" applyNumberFormat="0" applyProtection="0">
      <alignment horizontal="center" vertical="center" wrapText="1"/>
    </xf>
    <xf numFmtId="0" fontId="212" fillId="46" borderId="0" applyNumberFormat="0" applyProtection="0">
      <alignment horizontal="center" vertical="center" wrapText="1"/>
    </xf>
    <xf numFmtId="0" fontId="214" fillId="50" borderId="0" applyNumberFormat="0" applyProtection="0">
      <alignment horizontal="center" vertical="center" wrapText="1"/>
    </xf>
    <xf numFmtId="4" fontId="217" fillId="50" borderId="0" applyProtection="0">
      <alignment horizontal="center" vertical="top" wrapText="1"/>
    </xf>
    <xf numFmtId="0" fontId="215" fillId="5" borderId="0" applyNumberFormat="0" applyProtection="0">
      <alignment horizontal="center" vertical="center" wrapText="1"/>
    </xf>
    <xf numFmtId="4" fontId="218" fillId="5" borderId="0" applyProtection="0">
      <alignment horizontal="center" vertical="top" wrapText="1"/>
    </xf>
    <xf numFmtId="0" fontId="216" fillId="51" borderId="0" applyNumberFormat="0" applyProtection="0">
      <alignment horizontal="center" vertical="center" wrapText="1"/>
    </xf>
    <xf numFmtId="4" fontId="219" fillId="51" borderId="0" applyProtection="0">
      <alignment horizontal="center" vertical="top" wrapText="1"/>
    </xf>
    <xf numFmtId="0" fontId="212" fillId="46" borderId="0" applyNumberFormat="0" applyProtection="0">
      <alignment horizontal="center" vertical="center" wrapText="1"/>
    </xf>
    <xf numFmtId="4" fontId="220" fillId="46" borderId="0" applyProtection="0">
      <alignment horizontal="center" vertical="top" wrapText="1"/>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17" fontId="196" fillId="5" borderId="0" applyProtection="0">
      <alignment horizontal="center" vertical="center"/>
    </xf>
    <xf numFmtId="0" fontId="221" fillId="52" borderId="95"/>
    <xf numFmtId="0" fontId="221" fillId="0" borderId="0"/>
    <xf numFmtId="0" fontId="221" fillId="0" borderId="0"/>
    <xf numFmtId="0" fontId="221" fillId="0" borderId="0"/>
    <xf numFmtId="0" fontId="86" fillId="0" borderId="0">
      <alignment horizontal="centerContinuous"/>
    </xf>
    <xf numFmtId="0" fontId="222" fillId="0" borderId="0" applyNumberFormat="0" applyFill="0" applyBorder="0" applyAlignment="0" applyProtection="0">
      <alignment horizontal="left"/>
    </xf>
    <xf numFmtId="236" fontId="106" fillId="27" borderId="0"/>
    <xf numFmtId="0" fontId="223" fillId="0" borderId="0">
      <alignment horizontal="centerContinuous"/>
    </xf>
    <xf numFmtId="237" fontId="224" fillId="2" borderId="37" applyAlignment="0"/>
    <xf numFmtId="0" fontId="49" fillId="0" borderId="0"/>
    <xf numFmtId="0" fontId="3" fillId="0" borderId="57">
      <alignment horizontal="center"/>
    </xf>
    <xf numFmtId="0" fontId="63" fillId="0" borderId="57">
      <alignment horizontal="center"/>
    </xf>
    <xf numFmtId="0" fontId="63" fillId="0" borderId="57">
      <alignment horizontal="center"/>
    </xf>
    <xf numFmtId="0" fontId="63" fillId="0" borderId="57">
      <alignment horizontal="center"/>
    </xf>
    <xf numFmtId="0" fontId="3" fillId="0" borderId="57">
      <alignment horizontal="center"/>
    </xf>
    <xf numFmtId="0" fontId="3" fillId="0" borderId="57">
      <alignment horizontal="center"/>
    </xf>
    <xf numFmtId="0" fontId="63" fillId="0" borderId="57">
      <alignment horizontal="center"/>
    </xf>
    <xf numFmtId="0" fontId="63" fillId="0" borderId="57">
      <alignment horizontal="center"/>
    </xf>
    <xf numFmtId="0" fontId="63" fillId="0" borderId="57">
      <alignment horizontal="center"/>
    </xf>
    <xf numFmtId="0" fontId="63" fillId="0" borderId="57">
      <alignment horizontal="center"/>
    </xf>
    <xf numFmtId="0" fontId="63" fillId="0" borderId="57">
      <alignment horizontal="center"/>
    </xf>
    <xf numFmtId="0" fontId="63" fillId="0" borderId="57">
      <alignment horizontal="center"/>
    </xf>
    <xf numFmtId="0" fontId="63" fillId="0" borderId="57">
      <alignment horizontal="center"/>
    </xf>
    <xf numFmtId="0" fontId="225" fillId="0" borderId="0" applyBorder="0" applyProtection="0">
      <alignment vertical="center"/>
    </xf>
    <xf numFmtId="0" fontId="225" fillId="0" borderId="57" applyBorder="0" applyProtection="0">
      <alignment horizontal="right" vertical="center"/>
    </xf>
    <xf numFmtId="0" fontId="226" fillId="53" borderId="0" applyBorder="0" applyProtection="0">
      <alignment horizontal="centerContinuous" vertical="center"/>
    </xf>
    <xf numFmtId="0" fontId="226" fillId="51" borderId="57" applyBorder="0" applyProtection="0">
      <alignment horizontal="centerContinuous" vertical="center"/>
    </xf>
    <xf numFmtId="0" fontId="227" fillId="0" borderId="0" applyFill="0" applyBorder="0" applyProtection="0">
      <alignment horizontal="center" vertical="center"/>
    </xf>
    <xf numFmtId="0" fontId="106" fillId="0" borderId="0" applyBorder="0" applyProtection="0">
      <alignment horizontal="left"/>
    </xf>
    <xf numFmtId="0" fontId="128" fillId="0" borderId="0">
      <alignment horizontal="left"/>
    </xf>
    <xf numFmtId="0" fontId="145" fillId="0" borderId="0"/>
    <xf numFmtId="0" fontId="228" fillId="0" borderId="0" applyFill="0" applyBorder="0" applyProtection="0">
      <alignment horizontal="left"/>
    </xf>
    <xf numFmtId="0" fontId="128" fillId="0" borderId="48" applyFill="0" applyBorder="0" applyProtection="0">
      <alignment horizontal="left" vertical="top"/>
    </xf>
    <xf numFmtId="0" fontId="222" fillId="0" borderId="0">
      <alignment horizontal="centerContinuous"/>
    </xf>
    <xf numFmtId="0" fontId="229" fillId="0" borderId="48" applyFill="0" applyBorder="0" applyProtection="0"/>
    <xf numFmtId="0" fontId="229" fillId="0" borderId="0"/>
    <xf numFmtId="0" fontId="230" fillId="0" borderId="0"/>
    <xf numFmtId="0" fontId="231" fillId="0" borderId="0" applyFill="0" applyBorder="0" applyProtection="0"/>
    <xf numFmtId="0" fontId="232" fillId="0" borderId="0"/>
    <xf numFmtId="0" fontId="231" fillId="0" borderId="0"/>
    <xf numFmtId="0" fontId="233" fillId="0" borderId="0" applyFill="0" applyBorder="0" applyProtection="0"/>
    <xf numFmtId="0" fontId="230" fillId="0" borderId="0"/>
    <xf numFmtId="0" fontId="230" fillId="0" borderId="0"/>
    <xf numFmtId="0" fontId="234" fillId="0" borderId="0">
      <alignment vertical="center"/>
    </xf>
    <xf numFmtId="0" fontId="235" fillId="0" borderId="0" applyFill="0" applyBorder="0" applyProtection="0">
      <alignment horizontal="left" vertical="top"/>
    </xf>
    <xf numFmtId="0" fontId="94" fillId="0" borderId="0" applyNumberFormat="0" applyFill="0" applyBorder="0" applyAlignment="0" applyProtection="0"/>
    <xf numFmtId="0" fontId="188" fillId="0" borderId="0" applyNumberFormat="0" applyFill="0" applyBorder="0" applyAlignment="0" applyProtection="0"/>
    <xf numFmtId="0" fontId="23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 fontId="237" fillId="33" borderId="0">
      <alignment horizontal="center"/>
    </xf>
    <xf numFmtId="181" fontId="80" fillId="0" borderId="0"/>
    <xf numFmtId="0" fontId="52" fillId="0" borderId="0" applyNumberFormat="0" applyFill="0" applyBorder="0" applyAlignment="0" applyProtection="0"/>
    <xf numFmtId="0" fontId="80" fillId="0" borderId="0" applyNumberFormat="0" applyFill="0" applyBorder="0" applyAlignment="0" applyProtection="0"/>
    <xf numFmtId="0" fontId="80" fillId="0" borderId="0"/>
    <xf numFmtId="0" fontId="231" fillId="0" borderId="0"/>
    <xf numFmtId="0" fontId="230" fillId="0" borderId="0"/>
    <xf numFmtId="0" fontId="238" fillId="0" borderId="0"/>
    <xf numFmtId="0" fontId="109" fillId="0" borderId="96" applyNumberFormat="0" applyFont="0" applyFill="0" applyAlignment="0" applyProtection="0"/>
    <xf numFmtId="206" fontId="56" fillId="0" borderId="82" applyFill="0" applyBorder="0" applyProtection="0">
      <alignment vertical="center"/>
    </xf>
    <xf numFmtId="181" fontId="106" fillId="0" borderId="72"/>
    <xf numFmtId="0" fontId="49" fillId="0" borderId="0"/>
    <xf numFmtId="0" fontId="239" fillId="0" borderId="0">
      <alignment horizontal="fill"/>
    </xf>
    <xf numFmtId="185" fontId="192" fillId="2" borderId="48" applyBorder="0">
      <alignment horizontal="right" vertical="center"/>
      <protection locked="0"/>
    </xf>
    <xf numFmtId="0" fontId="240" fillId="0" borderId="0" applyNumberFormat="0"/>
    <xf numFmtId="238" fontId="241" fillId="54" borderId="97" applyNumberFormat="0" applyFont="0" applyBorder="0" applyAlignment="0">
      <alignment vertical="center"/>
      <protection locked="0"/>
    </xf>
    <xf numFmtId="239" fontId="49" fillId="0" borderId="0" applyFont="0" applyFill="0" applyBorder="0" applyAlignment="0" applyProtection="0"/>
    <xf numFmtId="240" fontId="56" fillId="0" borderId="0" applyFont="0" applyFill="0" applyBorder="0" applyAlignment="0" applyProtection="0"/>
    <xf numFmtId="241" fontId="49" fillId="0" borderId="0" applyFont="0" applyFill="0" applyBorder="0" applyAlignment="0" applyProtection="0"/>
    <xf numFmtId="242" fontId="56" fillId="0" borderId="0" applyFont="0" applyFill="0" applyBorder="0" applyAlignment="0" applyProtection="0"/>
    <xf numFmtId="0" fontId="242" fillId="0" borderId="0" applyNumberFormat="0" applyFill="0" applyBorder="0" applyAlignment="0" applyProtection="0"/>
    <xf numFmtId="1" fontId="49" fillId="0" borderId="0">
      <alignment horizontal="center"/>
    </xf>
    <xf numFmtId="243" fontId="224" fillId="2" borderId="8" applyNumberFormat="0" applyBorder="0" applyAlignment="0"/>
    <xf numFmtId="0" fontId="243" fillId="55" borderId="0" applyNumberFormat="0" applyProtection="0">
      <alignment horizontal="left"/>
    </xf>
    <xf numFmtId="209" fontId="163" fillId="56" borderId="2" applyNumberFormat="0" applyAlignment="0">
      <alignment horizontal="right"/>
    </xf>
    <xf numFmtId="209" fontId="162" fillId="56" borderId="2" applyNumberFormat="0" applyAlignment="0">
      <alignment horizontal="right"/>
    </xf>
    <xf numFmtId="182" fontId="244" fillId="41" borderId="37" applyAlignment="0">
      <alignment horizontal="right"/>
    </xf>
    <xf numFmtId="244" fontId="98" fillId="0" borderId="0" applyFont="0" applyFill="0" applyBorder="0" applyAlignment="0" applyProtection="0"/>
    <xf numFmtId="0" fontId="2" fillId="0" borderId="98">
      <alignment horizontal="left" vertical="center" wrapText="1"/>
    </xf>
    <xf numFmtId="0" fontId="20" fillId="0" borderId="98">
      <alignment horizontal="left" vertical="center" wrapText="1" indent="1"/>
    </xf>
    <xf numFmtId="3" fontId="245" fillId="0" borderId="0">
      <alignment horizontal="center" vertical="center" textRotation="90" wrapText="1"/>
    </xf>
    <xf numFmtId="245" fontId="19" fillId="0" borderId="2">
      <alignment vertical="top" wrapText="1"/>
    </xf>
    <xf numFmtId="169" fontId="246" fillId="0" borderId="2">
      <alignment vertical="top" wrapText="1"/>
    </xf>
    <xf numFmtId="4" fontId="247" fillId="0" borderId="2">
      <alignment horizontal="left" vertical="center"/>
    </xf>
    <xf numFmtId="4" fontId="247" fillId="0" borderId="2"/>
    <xf numFmtId="4" fontId="247" fillId="57" borderId="2"/>
    <xf numFmtId="4" fontId="247" fillId="58" borderId="2"/>
    <xf numFmtId="4" fontId="248" fillId="59" borderId="2"/>
    <xf numFmtId="14" fontId="249" fillId="0" borderId="0"/>
    <xf numFmtId="44" fontId="64" fillId="0" borderId="0" applyFont="0" applyFill="0" applyBorder="0" applyAlignment="0" applyProtection="0"/>
    <xf numFmtId="245" fontId="250" fillId="0" borderId="2"/>
    <xf numFmtId="7" fontId="251" fillId="0" borderId="0"/>
    <xf numFmtId="49" fontId="245" fillId="0" borderId="2">
      <alignment horizontal="right" vertical="top" wrapText="1"/>
    </xf>
    <xf numFmtId="181" fontId="252" fillId="0" borderId="0">
      <alignment horizontal="right" vertical="top" wrapText="1"/>
    </xf>
    <xf numFmtId="0" fontId="253" fillId="0" borderId="0"/>
    <xf numFmtId="0" fontId="56" fillId="0" borderId="0"/>
    <xf numFmtId="0" fontId="55" fillId="0" borderId="0"/>
    <xf numFmtId="0" fontId="49" fillId="0" borderId="0"/>
    <xf numFmtId="0" fontId="55" fillId="0" borderId="0"/>
    <xf numFmtId="0" fontId="64" fillId="0" borderId="0"/>
    <xf numFmtId="0" fontId="64" fillId="0" borderId="0"/>
    <xf numFmtId="0" fontId="61" fillId="0" borderId="0"/>
    <xf numFmtId="0" fontId="254" fillId="0" borderId="0"/>
    <xf numFmtId="0" fontId="64" fillId="0" borderId="0"/>
    <xf numFmtId="0" fontId="254" fillId="0" borderId="0"/>
    <xf numFmtId="0" fontId="64" fillId="0" borderId="0"/>
    <xf numFmtId="0" fontId="64" fillId="0" borderId="0"/>
    <xf numFmtId="0" fontId="64" fillId="0" borderId="0"/>
    <xf numFmtId="0" fontId="19" fillId="0" borderId="0"/>
    <xf numFmtId="0" fontId="64" fillId="0" borderId="0"/>
    <xf numFmtId="0" fontId="64" fillId="0" borderId="0"/>
    <xf numFmtId="0" fontId="64" fillId="0" borderId="0"/>
    <xf numFmtId="0" fontId="64" fillId="0" borderId="0"/>
    <xf numFmtId="0" fontId="255" fillId="0" borderId="0"/>
    <xf numFmtId="0" fontId="64" fillId="0" borderId="0"/>
    <xf numFmtId="0" fontId="255" fillId="0" borderId="0"/>
    <xf numFmtId="0" fontId="64" fillId="0" borderId="0"/>
    <xf numFmtId="0" fontId="255" fillId="0" borderId="0"/>
    <xf numFmtId="0" fontId="64" fillId="0" borderId="0"/>
    <xf numFmtId="0" fontId="19" fillId="0" borderId="0"/>
    <xf numFmtId="0" fontId="49" fillId="0" borderId="0"/>
    <xf numFmtId="0" fontId="49" fillId="0" borderId="0"/>
    <xf numFmtId="169" fontId="256" fillId="0" borderId="2">
      <alignment vertical="top"/>
    </xf>
    <xf numFmtId="49" fontId="248" fillId="0" borderId="47">
      <alignment horizontal="left" vertical="center"/>
    </xf>
    <xf numFmtId="9" fontId="19" fillId="0" borderId="0" applyFont="0" applyFill="0" applyBorder="0" applyAlignment="0" applyProtection="0"/>
    <xf numFmtId="9" fontId="25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4" fillId="0" borderId="0" applyFont="0" applyFill="0" applyBorder="0" applyAlignment="0" applyProtection="0"/>
    <xf numFmtId="9" fontId="55" fillId="0" borderId="0" applyFill="0" applyBorder="0" applyAlignment="0" applyProtection="0"/>
    <xf numFmtId="9" fontId="253" fillId="0" borderId="0" applyFont="0" applyFill="0" applyBorder="0" applyAlignment="0" applyProtection="0"/>
    <xf numFmtId="245" fontId="257" fillId="0" borderId="2"/>
    <xf numFmtId="0" fontId="51" fillId="0" borderId="0"/>
    <xf numFmtId="0" fontId="49" fillId="0" borderId="0"/>
    <xf numFmtId="49" fontId="252" fillId="0" borderId="0"/>
    <xf numFmtId="49" fontId="258" fillId="0" borderId="0">
      <alignment vertical="top"/>
    </xf>
    <xf numFmtId="0" fontId="47" fillId="5" borderId="0" applyNumberFormat="0" applyFill="0" applyBorder="0" applyAlignment="0"/>
    <xf numFmtId="0" fontId="47" fillId="5" borderId="0" applyNumberFormat="0" applyFill="0" applyBorder="0" applyAlignment="0"/>
    <xf numFmtId="165" fontId="19" fillId="0" borderId="0" applyFont="0" applyFill="0" applyBorder="0" applyAlignment="0" applyProtection="0"/>
    <xf numFmtId="3" fontId="259" fillId="0" borderId="47" applyFont="0" applyBorder="0">
      <alignment horizontal="right"/>
      <protection locked="0"/>
    </xf>
    <xf numFmtId="166" fontId="19" fillId="0" borderId="0" applyFont="0" applyFill="0" applyBorder="0" applyAlignment="0" applyProtection="0"/>
    <xf numFmtId="41" fontId="1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246" fontId="55" fillId="0" borderId="0" applyFill="0" applyBorder="0" applyAlignment="0" applyProtection="0"/>
    <xf numFmtId="43" fontId="254"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181" fontId="19" fillId="0" borderId="0" applyFont="0" applyFill="0" applyBorder="0" applyAlignment="0" applyProtection="0"/>
    <xf numFmtId="248" fontId="19" fillId="0" borderId="47">
      <alignment vertical="top" wrapText="1"/>
    </xf>
    <xf numFmtId="249" fontId="57" fillId="0" borderId="0">
      <protection locked="0"/>
    </xf>
    <xf numFmtId="49" fontId="246" fillId="0" borderId="2">
      <alignment horizontal="center" vertical="center" wrapText="1"/>
    </xf>
    <xf numFmtId="49" fontId="260" fillId="0" borderId="2" applyNumberFormat="0" applyFill="0" applyAlignment="0" applyProtection="0"/>
    <xf numFmtId="0" fontId="52" fillId="0" borderId="0"/>
    <xf numFmtId="0" fontId="261" fillId="0" borderId="0"/>
    <xf numFmtId="0" fontId="264" fillId="0" borderId="0"/>
    <xf numFmtId="0" fontId="254" fillId="0" borderId="0"/>
    <xf numFmtId="0" fontId="49" fillId="0" borderId="0"/>
    <xf numFmtId="43" fontId="264"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26" fontId="19" fillId="0" borderId="0" applyFont="0" applyFill="0" applyBorder="0" applyAlignment="0" applyProtection="0"/>
    <xf numFmtId="228"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227" fontId="19" fillId="0" borderId="0" applyFont="0" applyFill="0" applyBorder="0" applyAlignment="0" applyProtection="0"/>
    <xf numFmtId="229"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0" fontId="55" fillId="0" borderId="0"/>
    <xf numFmtId="0" fontId="19" fillId="0" borderId="0"/>
    <xf numFmtId="0" fontId="19" fillId="0" borderId="0"/>
    <xf numFmtId="9" fontId="49" fillId="0" borderId="0" applyFont="0" applyFill="0" applyBorder="0" applyAlignment="0" applyProtection="0"/>
    <xf numFmtId="9" fontId="55" fillId="0" borderId="0" applyFill="0" applyBorder="0" applyAlignment="0" applyProtection="0"/>
    <xf numFmtId="0" fontId="49" fillId="0" borderId="0"/>
    <xf numFmtId="9" fontId="55" fillId="0" borderId="0" applyFill="0" applyBorder="0" applyAlignment="0" applyProtection="0"/>
    <xf numFmtId="0" fontId="19" fillId="0" borderId="0"/>
    <xf numFmtId="0" fontId="280" fillId="0" borderId="0" applyNumberFormat="0" applyFill="0" applyBorder="0" applyAlignment="0" applyProtection="0"/>
    <xf numFmtId="199" fontId="49" fillId="0" borderId="0" applyFont="0" applyFill="0" applyBorder="0" applyAlignment="0" applyProtection="0"/>
    <xf numFmtId="43" fontId="19" fillId="0" borderId="0" applyFont="0" applyFill="0" applyBorder="0" applyAlignment="0" applyProtection="0"/>
    <xf numFmtId="0" fontId="49" fillId="0" borderId="0"/>
    <xf numFmtId="0" fontId="19" fillId="0" borderId="0"/>
    <xf numFmtId="199" fontId="49" fillId="0" borderId="0" applyFont="0" applyFill="0" applyBorder="0" applyAlignment="0" applyProtection="0"/>
    <xf numFmtId="0" fontId="49" fillId="0" borderId="0"/>
    <xf numFmtId="0" fontId="1" fillId="0" borderId="0"/>
  </cellStyleXfs>
  <cellXfs count="2424">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vertical="top" wrapText="1"/>
    </xf>
    <xf numFmtId="0" fontId="0" fillId="0" borderId="0" xfId="0" applyAlignment="1">
      <alignment vertical="top" wrapText="1"/>
    </xf>
    <xf numFmtId="3" fontId="2" fillId="0" borderId="1" xfId="0" applyNumberFormat="1" applyFont="1" applyBorder="1" applyAlignment="1">
      <alignment horizontal="center" vertical="top" wrapText="1"/>
    </xf>
    <xf numFmtId="3" fontId="2" fillId="0" borderId="2" xfId="0" applyNumberFormat="1" applyFont="1" applyBorder="1" applyAlignment="1">
      <alignment horizontal="center" vertical="top" wrapText="1"/>
    </xf>
    <xf numFmtId="3" fontId="4" fillId="0" borderId="4" xfId="0" applyNumberFormat="1" applyFont="1" applyBorder="1" applyAlignment="1">
      <alignment vertical="top" wrapText="1"/>
    </xf>
    <xf numFmtId="0" fontId="2" fillId="0" borderId="0" xfId="0" applyFont="1" applyAlignment="1">
      <alignment vertical="top"/>
    </xf>
    <xf numFmtId="0" fontId="2" fillId="0" borderId="3" xfId="0" applyFont="1" applyBorder="1" applyAlignment="1">
      <alignment horizontal="center" vertical="top"/>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12" fillId="0" borderId="0" xfId="0" applyFont="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2" fillId="0" borderId="2" xfId="0" applyFont="1" applyFill="1" applyBorder="1" applyAlignment="1">
      <alignment vertical="top" wrapText="1"/>
    </xf>
    <xf numFmtId="0" fontId="19" fillId="0" borderId="0" xfId="0" applyFont="1" applyAlignment="1">
      <alignment vertical="top" wrapText="1"/>
    </xf>
    <xf numFmtId="0" fontId="20" fillId="0" borderId="0" xfId="0" applyFont="1"/>
    <xf numFmtId="0" fontId="21" fillId="0" borderId="0" xfId="0" applyFont="1"/>
    <xf numFmtId="0" fontId="17" fillId="0" borderId="0" xfId="0" applyFont="1"/>
    <xf numFmtId="0" fontId="22" fillId="0" borderId="0" xfId="0" applyFont="1" applyAlignment="1">
      <alignment vertical="top" wrapText="1"/>
    </xf>
    <xf numFmtId="0" fontId="3" fillId="0" borderId="0" xfId="0" applyFont="1" applyBorder="1" applyAlignment="1">
      <alignment horizontal="left" vertical="top" wrapText="1"/>
    </xf>
    <xf numFmtId="0" fontId="13" fillId="0" borderId="0" xfId="0" applyFont="1"/>
    <xf numFmtId="0" fontId="25" fillId="0" borderId="0" xfId="0" applyFont="1"/>
    <xf numFmtId="0" fontId="26" fillId="0" borderId="0" xfId="0" applyFont="1"/>
    <xf numFmtId="0" fontId="3" fillId="0" borderId="0" xfId="0" applyFont="1"/>
    <xf numFmtId="0" fontId="13" fillId="0" borderId="0" xfId="0" applyFont="1" applyBorder="1"/>
    <xf numFmtId="3" fontId="23" fillId="0" borderId="0" xfId="0" applyNumberFormat="1" applyFont="1" applyBorder="1" applyAlignment="1">
      <alignment vertical="top" wrapText="1"/>
    </xf>
    <xf numFmtId="3" fontId="13" fillId="0" borderId="0" xfId="0" applyNumberFormat="1" applyFont="1" applyBorder="1" applyAlignment="1">
      <alignment vertical="top" wrapText="1"/>
    </xf>
    <xf numFmtId="0" fontId="2" fillId="0" borderId="0" xfId="0" applyFont="1" applyAlignment="1"/>
    <xf numFmtId="0" fontId="2" fillId="0" borderId="0" xfId="0" applyFont="1" applyAlignment="1">
      <alignment vertical="top" wrapText="1" shrinkToFit="1"/>
    </xf>
    <xf numFmtId="0" fontId="0" fillId="0" borderId="0" xfId="0" applyAlignment="1">
      <alignment vertical="top" wrapText="1" shrinkToFit="1"/>
    </xf>
    <xf numFmtId="0" fontId="2" fillId="0" borderId="2" xfId="0" applyFont="1" applyBorder="1" applyAlignment="1">
      <alignment vertical="top" wrapText="1" shrinkToFit="1"/>
    </xf>
    <xf numFmtId="0" fontId="2" fillId="0" borderId="2" xfId="0" applyFont="1" applyBorder="1"/>
    <xf numFmtId="0" fontId="3" fillId="0" borderId="0" xfId="0" applyFont="1" applyFill="1" applyBorder="1" applyAlignment="1">
      <alignment horizontal="center"/>
    </xf>
    <xf numFmtId="0" fontId="3" fillId="0" borderId="0" xfId="0" applyFont="1" applyFill="1" applyBorder="1"/>
    <xf numFmtId="0" fontId="2" fillId="0" borderId="0" xfId="0" applyFont="1" applyBorder="1" applyAlignment="1">
      <alignment horizontal="center" vertical="top" wrapText="1"/>
    </xf>
    <xf numFmtId="3" fontId="2" fillId="0" borderId="0" xfId="0" applyNumberFormat="1" applyFont="1" applyBorder="1" applyAlignment="1">
      <alignment vertical="top" wrapText="1"/>
    </xf>
    <xf numFmtId="3" fontId="2" fillId="0" borderId="0" xfId="0" applyNumberFormat="1" applyFont="1" applyFill="1" applyBorder="1" applyAlignment="1">
      <alignment vertical="top" wrapText="1"/>
    </xf>
    <xf numFmtId="0" fontId="28" fillId="0" borderId="0" xfId="1" applyFont="1" applyBorder="1" applyAlignment="1" applyProtection="1">
      <alignment horizontal="left"/>
    </xf>
    <xf numFmtId="0" fontId="2" fillId="0" borderId="0" xfId="0" applyFont="1" applyAlignment="1">
      <alignment horizontal="left"/>
    </xf>
    <xf numFmtId="0" fontId="2" fillId="0" borderId="0" xfId="0" applyFont="1" applyBorder="1" applyAlignment="1">
      <alignment horizontal="left" vertical="top" wrapText="1"/>
    </xf>
    <xf numFmtId="0" fontId="4" fillId="0" borderId="0" xfId="0" applyFont="1" applyAlignment="1">
      <alignment vertical="top" wrapText="1"/>
    </xf>
    <xf numFmtId="0" fontId="11" fillId="0" borderId="0" xfId="0" applyFont="1" applyAlignment="1">
      <alignment vertical="top" wrapText="1"/>
    </xf>
    <xf numFmtId="0" fontId="2" fillId="0" borderId="0" xfId="0" applyFont="1" applyFill="1"/>
    <xf numFmtId="0" fontId="3" fillId="0" borderId="0" xfId="0" applyFont="1" applyFill="1" applyBorder="1" applyAlignment="1">
      <alignment vertical="top"/>
    </xf>
    <xf numFmtId="0" fontId="0" fillId="0" borderId="0" xfId="0" applyFill="1"/>
    <xf numFmtId="0" fontId="3" fillId="0" borderId="0" xfId="0" applyFont="1" applyFill="1" applyBorder="1" applyAlignment="1">
      <alignment horizontal="left" vertical="top" wrapText="1"/>
    </xf>
    <xf numFmtId="0" fontId="0" fillId="0" borderId="0" xfId="0" applyFill="1" applyAlignment="1">
      <alignment vertical="top" wrapText="1"/>
    </xf>
    <xf numFmtId="0" fontId="3" fillId="0" borderId="0" xfId="0" applyFont="1" applyFill="1" applyBorder="1" applyAlignment="1">
      <alignment vertical="top" wrapText="1"/>
    </xf>
    <xf numFmtId="0" fontId="19" fillId="0" borderId="0" xfId="0" applyFont="1" applyFill="1"/>
    <xf numFmtId="0" fontId="3" fillId="4" borderId="2" xfId="0" applyFont="1" applyFill="1" applyBorder="1" applyAlignment="1">
      <alignment horizontal="center" vertical="top" wrapText="1"/>
    </xf>
    <xf numFmtId="0" fontId="18" fillId="0" borderId="0" xfId="1" applyFont="1" applyAlignment="1" applyProtection="1">
      <alignment horizontal="center" vertical="top" wrapText="1"/>
    </xf>
    <xf numFmtId="0" fontId="4" fillId="0" borderId="4" xfId="0" applyFont="1" applyBorder="1" applyAlignment="1">
      <alignment vertical="top" wrapText="1"/>
    </xf>
    <xf numFmtId="0" fontId="18" fillId="0" borderId="0" xfId="1" applyFont="1" applyAlignment="1" applyProtection="1">
      <alignment vertical="top" wrapText="1"/>
    </xf>
    <xf numFmtId="0" fontId="2" fillId="0" borderId="30" xfId="0" applyFont="1" applyFill="1" applyBorder="1" applyAlignment="1">
      <alignment horizontal="center" vertical="top" wrapText="1"/>
    </xf>
    <xf numFmtId="0" fontId="2" fillId="0" borderId="33" xfId="0" applyFont="1" applyFill="1" applyBorder="1" applyAlignment="1">
      <alignment horizontal="center" vertical="top" wrapText="1"/>
    </xf>
    <xf numFmtId="0" fontId="2" fillId="0" borderId="31" xfId="0" applyFont="1" applyFill="1" applyBorder="1" applyAlignment="1">
      <alignment horizontal="center" vertical="top" wrapText="1"/>
    </xf>
    <xf numFmtId="3" fontId="2" fillId="0" borderId="5" xfId="0" applyNumberFormat="1" applyFont="1" applyBorder="1" applyAlignment="1">
      <alignment horizontal="center" vertical="top" wrapText="1"/>
    </xf>
    <xf numFmtId="0" fontId="32" fillId="0" borderId="0" xfId="0" applyFont="1" applyFill="1" applyAlignment="1">
      <alignment vertical="top" wrapText="1"/>
    </xf>
    <xf numFmtId="0" fontId="2" fillId="0" borderId="33" xfId="0" applyFont="1" applyFill="1" applyBorder="1" applyAlignment="1">
      <alignment horizontal="right" vertical="top" wrapText="1"/>
    </xf>
    <xf numFmtId="0" fontId="30" fillId="0" borderId="5" xfId="0" applyFont="1" applyBorder="1" applyAlignment="1">
      <alignment vertical="top" wrapText="1"/>
    </xf>
    <xf numFmtId="0" fontId="2" fillId="0" borderId="35" xfId="0" applyFont="1" applyBorder="1" applyAlignment="1">
      <alignment horizontal="right"/>
    </xf>
    <xf numFmtId="0" fontId="30" fillId="0" borderId="36" xfId="0" applyFont="1" applyFill="1" applyBorder="1" applyAlignment="1">
      <alignment horizontal="left"/>
    </xf>
    <xf numFmtId="0" fontId="18" fillId="0" borderId="0" xfId="1" applyFont="1" applyAlignment="1" applyProtection="1">
      <alignment horizontal="center"/>
    </xf>
    <xf numFmtId="3" fontId="4" fillId="0" borderId="13" xfId="0" applyNumberFormat="1" applyFont="1" applyBorder="1" applyAlignment="1">
      <alignment vertical="top" wrapText="1"/>
    </xf>
    <xf numFmtId="0" fontId="2" fillId="0" borderId="9" xfId="0" applyFont="1" applyBorder="1" applyAlignment="1">
      <alignment horizontal="center" vertical="top" wrapText="1"/>
    </xf>
    <xf numFmtId="0" fontId="2" fillId="0" borderId="30" xfId="0" applyFont="1" applyFill="1" applyBorder="1" applyAlignment="1">
      <alignment horizontal="right" vertical="top" wrapText="1"/>
    </xf>
    <xf numFmtId="0" fontId="2" fillId="0" borderId="20" xfId="0" applyFont="1" applyFill="1" applyBorder="1" applyAlignment="1">
      <alignment horizontal="right" vertical="top" wrapText="1"/>
    </xf>
    <xf numFmtId="0" fontId="2" fillId="0" borderId="40" xfId="0" applyFont="1" applyFill="1" applyBorder="1" applyAlignment="1">
      <alignment horizontal="right" vertical="top" wrapText="1"/>
    </xf>
    <xf numFmtId="0" fontId="4" fillId="0" borderId="9" xfId="0" applyFont="1" applyBorder="1" applyAlignment="1">
      <alignment vertical="top" wrapText="1"/>
    </xf>
    <xf numFmtId="167" fontId="2" fillId="0" borderId="0" xfId="0" applyNumberFormat="1" applyFont="1"/>
    <xf numFmtId="1" fontId="2" fillId="5" borderId="9" xfId="0" applyNumberFormat="1" applyFont="1" applyFill="1" applyBorder="1" applyAlignment="1">
      <alignment horizontal="center" vertical="top" wrapText="1"/>
    </xf>
    <xf numFmtId="3" fontId="33" fillId="0" borderId="9" xfId="0" applyNumberFormat="1" applyFont="1" applyBorder="1" applyAlignment="1">
      <alignment vertical="top" wrapText="1"/>
    </xf>
    <xf numFmtId="3" fontId="33" fillId="0" borderId="9" xfId="0" applyNumberFormat="1" applyFont="1" applyBorder="1" applyAlignment="1">
      <alignment horizontal="right" vertical="top" wrapText="1"/>
    </xf>
    <xf numFmtId="0" fontId="33" fillId="0" borderId="9" xfId="0" applyFont="1" applyBorder="1" applyAlignment="1">
      <alignment vertical="top" wrapText="1"/>
    </xf>
    <xf numFmtId="3" fontId="10" fillId="5" borderId="9" xfId="0" applyNumberFormat="1" applyFont="1" applyFill="1" applyBorder="1" applyAlignment="1">
      <alignment horizontal="right" vertical="top" wrapText="1"/>
    </xf>
    <xf numFmtId="3" fontId="10" fillId="5" borderId="13" xfId="0" applyNumberFormat="1" applyFont="1" applyFill="1" applyBorder="1" applyAlignment="1">
      <alignment horizontal="right" vertical="top" wrapText="1"/>
    </xf>
    <xf numFmtId="2" fontId="2" fillId="0" borderId="15" xfId="0" applyNumberFormat="1" applyFont="1" applyFill="1" applyBorder="1" applyAlignment="1">
      <alignment vertical="top" wrapText="1"/>
    </xf>
    <xf numFmtId="3" fontId="3" fillId="0" borderId="9" xfId="0" applyNumberFormat="1" applyFont="1" applyBorder="1" applyAlignment="1">
      <alignment horizontal="right" vertical="top" wrapText="1"/>
    </xf>
    <xf numFmtId="0" fontId="36" fillId="0" borderId="0" xfId="1" applyFont="1" applyAlignment="1" applyProtection="1">
      <alignment horizontal="center" vertical="top" wrapText="1"/>
    </xf>
    <xf numFmtId="0" fontId="38" fillId="0" borderId="0" xfId="0" applyFont="1" applyAlignment="1">
      <alignment vertical="top" wrapText="1"/>
    </xf>
    <xf numFmtId="0" fontId="38" fillId="0" borderId="0" xfId="0" applyFont="1"/>
    <xf numFmtId="0" fontId="39" fillId="0" borderId="0" xfId="0" applyFont="1"/>
    <xf numFmtId="0" fontId="40" fillId="0" borderId="0" xfId="0" applyFont="1"/>
    <xf numFmtId="0" fontId="3" fillId="7" borderId="33" xfId="0" applyFont="1" applyFill="1" applyBorder="1"/>
    <xf numFmtId="3" fontId="7" fillId="0" borderId="11"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3" fontId="4" fillId="0" borderId="4" xfId="0" applyNumberFormat="1" applyFont="1" applyBorder="1" applyAlignment="1">
      <alignment horizontal="center" vertical="top" wrapText="1"/>
    </xf>
    <xf numFmtId="3" fontId="30" fillId="0" borderId="1" xfId="0" applyNumberFormat="1" applyFont="1" applyBorder="1" applyAlignment="1">
      <alignment horizontal="center" vertical="top" wrapText="1"/>
    </xf>
    <xf numFmtId="3" fontId="30" fillId="0" borderId="2" xfId="0" applyNumberFormat="1" applyFont="1" applyBorder="1" applyAlignment="1">
      <alignment horizontal="center" vertical="top" wrapText="1"/>
    </xf>
    <xf numFmtId="3" fontId="33" fillId="0" borderId="5" xfId="0" applyNumberFormat="1" applyFont="1" applyBorder="1" applyAlignment="1">
      <alignment horizontal="center" vertical="top" wrapText="1"/>
    </xf>
    <xf numFmtId="3" fontId="4" fillId="0" borderId="11" xfId="0" applyNumberFormat="1" applyFont="1" applyBorder="1" applyAlignment="1">
      <alignment horizontal="center" vertical="top" wrapText="1"/>
    </xf>
    <xf numFmtId="3" fontId="4" fillId="0" borderId="3" xfId="0" applyNumberFormat="1" applyFont="1" applyBorder="1" applyAlignment="1">
      <alignment horizontal="center" vertical="top" wrapText="1"/>
    </xf>
    <xf numFmtId="167" fontId="30" fillId="0" borderId="1" xfId="0" applyNumberFormat="1" applyFont="1" applyBorder="1" applyAlignment="1">
      <alignment horizontal="center" vertical="top" wrapText="1"/>
    </xf>
    <xf numFmtId="3" fontId="35" fillId="0" borderId="2" xfId="0" applyNumberFormat="1" applyFont="1" applyBorder="1" applyAlignment="1">
      <alignment horizontal="center" vertical="top" wrapText="1"/>
    </xf>
    <xf numFmtId="2" fontId="2" fillId="0" borderId="28" xfId="0" applyNumberFormat="1" applyFont="1" applyFill="1" applyBorder="1" applyAlignment="1">
      <alignment vertical="top" wrapText="1"/>
    </xf>
    <xf numFmtId="3" fontId="30" fillId="5" borderId="9" xfId="0" applyNumberFormat="1" applyFont="1" applyFill="1" applyBorder="1" applyAlignment="1">
      <alignment horizontal="right" vertical="top" wrapText="1"/>
    </xf>
    <xf numFmtId="3" fontId="2" fillId="5" borderId="9" xfId="0" applyNumberFormat="1" applyFont="1" applyFill="1" applyBorder="1" applyAlignment="1">
      <alignment horizontal="right" vertical="top" wrapText="1"/>
    </xf>
    <xf numFmtId="3" fontId="2" fillId="5" borderId="9" xfId="0" applyNumberFormat="1" applyFont="1" applyFill="1" applyBorder="1" applyAlignment="1">
      <alignment horizontal="center" vertical="top" wrapText="1"/>
    </xf>
    <xf numFmtId="3" fontId="10" fillId="5" borderId="9" xfId="2" applyNumberFormat="1" applyFont="1" applyFill="1" applyBorder="1" applyAlignment="1">
      <alignment horizontal="right" vertical="top" wrapText="1"/>
    </xf>
    <xf numFmtId="3" fontId="10" fillId="5" borderId="27" xfId="0" applyNumberFormat="1" applyFont="1" applyFill="1" applyBorder="1" applyAlignment="1">
      <alignment horizontal="right" vertical="top" wrapText="1"/>
    </xf>
    <xf numFmtId="4" fontId="2" fillId="7" borderId="2" xfId="0" applyNumberFormat="1" applyFont="1" applyFill="1" applyBorder="1" applyAlignment="1">
      <alignment horizontal="center" vertical="top" wrapText="1"/>
    </xf>
    <xf numFmtId="4" fontId="34" fillId="0" borderId="2" xfId="0" applyNumberFormat="1" applyFont="1" applyBorder="1" applyAlignment="1">
      <alignment horizontal="center" vertical="top" wrapText="1"/>
    </xf>
    <xf numFmtId="4" fontId="35" fillId="0" borderId="2" xfId="0" applyNumberFormat="1" applyFont="1" applyBorder="1" applyAlignment="1">
      <alignment horizontal="center" vertical="top" wrapText="1"/>
    </xf>
    <xf numFmtId="4" fontId="34" fillId="0" borderId="2" xfId="2" applyNumberFormat="1" applyFont="1" applyBorder="1" applyAlignment="1">
      <alignment horizontal="center" vertical="top" wrapText="1"/>
    </xf>
    <xf numFmtId="0" fontId="24" fillId="0" borderId="0" xfId="0" applyFont="1"/>
    <xf numFmtId="0" fontId="24" fillId="0" borderId="0" xfId="0" applyFont="1" applyAlignment="1">
      <alignment vertical="top" wrapText="1"/>
    </xf>
    <xf numFmtId="3" fontId="24" fillId="0" borderId="33" xfId="0" applyNumberFormat="1" applyFont="1" applyBorder="1" applyAlignment="1">
      <alignment horizontal="center" vertical="top" wrapText="1"/>
    </xf>
    <xf numFmtId="3" fontId="24" fillId="0" borderId="35" xfId="0" applyNumberFormat="1" applyFont="1" applyBorder="1" applyAlignment="1">
      <alignment horizontal="center" vertical="top" wrapText="1"/>
    </xf>
    <xf numFmtId="3" fontId="24" fillId="0" borderId="2" xfId="0" applyNumberFormat="1" applyFont="1" applyBorder="1" applyAlignment="1">
      <alignment horizontal="center" vertical="top" wrapText="1"/>
    </xf>
    <xf numFmtId="3" fontId="24" fillId="0" borderId="8" xfId="0" applyNumberFormat="1" applyFont="1" applyBorder="1" applyAlignment="1">
      <alignment horizontal="center" vertical="top" wrapText="1"/>
    </xf>
    <xf numFmtId="3" fontId="35" fillId="0" borderId="42" xfId="0" applyNumberFormat="1" applyFont="1" applyBorder="1" applyAlignment="1">
      <alignment horizontal="center" vertical="top" wrapText="1"/>
    </xf>
    <xf numFmtId="0" fontId="24" fillId="3" borderId="2" xfId="0" applyFont="1" applyFill="1" applyBorder="1" applyAlignment="1">
      <alignment horizontal="center" vertical="top" wrapText="1"/>
    </xf>
    <xf numFmtId="0" fontId="24" fillId="3" borderId="5" xfId="0" applyFont="1" applyFill="1" applyBorder="1" applyAlignment="1">
      <alignment horizontal="center" vertical="top" wrapText="1"/>
    </xf>
    <xf numFmtId="0" fontId="34" fillId="0"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0" xfId="0" applyFont="1" applyAlignment="1">
      <alignment vertical="top"/>
    </xf>
    <xf numFmtId="3" fontId="24" fillId="0" borderId="60" xfId="0" applyNumberFormat="1" applyFont="1" applyBorder="1" applyAlignment="1">
      <alignment horizontal="center" vertical="top" wrapText="1"/>
    </xf>
    <xf numFmtId="0" fontId="44" fillId="0" borderId="0" xfId="0" applyFont="1" applyFill="1" applyBorder="1" applyAlignment="1">
      <alignment vertical="top" wrapText="1"/>
    </xf>
    <xf numFmtId="0" fontId="24" fillId="0" borderId="0" xfId="0" applyFont="1" applyFill="1" applyBorder="1" applyAlignment="1">
      <alignment horizontal="center" vertical="top" wrapText="1"/>
    </xf>
    <xf numFmtId="0" fontId="45" fillId="0" borderId="0" xfId="1" applyFont="1" applyAlignment="1" applyProtection="1">
      <alignment horizontal="center" vertical="top" wrapText="1"/>
    </xf>
    <xf numFmtId="0" fontId="24" fillId="0" borderId="11" xfId="0" applyFont="1" applyBorder="1" applyAlignment="1">
      <alignment horizontal="center" vertical="center" textRotation="90" wrapText="1"/>
    </xf>
    <xf numFmtId="0" fontId="24" fillId="0" borderId="3" xfId="0" applyFont="1" applyBorder="1" applyAlignment="1">
      <alignment horizontal="center" vertical="center" textRotation="90" wrapText="1"/>
    </xf>
    <xf numFmtId="0" fontId="24" fillId="0" borderId="72" xfId="0" applyFont="1" applyBorder="1" applyAlignment="1">
      <alignment horizontal="center" vertical="center" textRotation="90" wrapText="1"/>
    </xf>
    <xf numFmtId="0" fontId="24" fillId="0" borderId="71" xfId="0" applyFont="1" applyBorder="1" applyAlignment="1">
      <alignment horizontal="center" vertical="center" textRotation="90" wrapText="1"/>
    </xf>
    <xf numFmtId="3" fontId="24" fillId="0" borderId="17" xfId="0" applyNumberFormat="1" applyFont="1" applyBorder="1" applyAlignment="1">
      <alignment horizontal="center" vertical="top" wrapText="1"/>
    </xf>
    <xf numFmtId="3" fontId="35" fillId="0" borderId="59" xfId="0" applyNumberFormat="1" applyFont="1" applyBorder="1" applyAlignment="1">
      <alignment horizontal="center" vertical="top" wrapText="1"/>
    </xf>
    <xf numFmtId="0" fontId="24" fillId="0" borderId="56" xfId="0" applyFont="1" applyBorder="1" applyAlignment="1">
      <alignment horizontal="center" vertical="center" textRotation="90" wrapText="1"/>
    </xf>
    <xf numFmtId="3" fontId="35" fillId="0" borderId="17" xfId="0" applyNumberFormat="1" applyFont="1" applyBorder="1" applyAlignment="1">
      <alignment horizontal="center" vertical="top" wrapText="1"/>
    </xf>
    <xf numFmtId="3" fontId="24" fillId="0" borderId="25" xfId="0" applyNumberFormat="1" applyFont="1" applyBorder="1" applyAlignment="1">
      <alignment horizontal="center" vertical="top" wrapText="1"/>
    </xf>
    <xf numFmtId="3" fontId="24" fillId="0" borderId="38" xfId="0" applyNumberFormat="1" applyFont="1" applyBorder="1" applyAlignment="1">
      <alignment horizontal="center" vertical="top" wrapText="1"/>
    </xf>
    <xf numFmtId="3" fontId="35" fillId="0" borderId="25" xfId="0" applyNumberFormat="1" applyFont="1" applyBorder="1" applyAlignment="1">
      <alignment horizontal="center" vertical="top" wrapText="1"/>
    </xf>
    <xf numFmtId="3" fontId="35" fillId="0" borderId="50" xfId="0" applyNumberFormat="1" applyFont="1" applyBorder="1" applyAlignment="1">
      <alignment horizontal="center" vertical="top" wrapText="1"/>
    </xf>
    <xf numFmtId="0" fontId="42" fillId="0" borderId="0" xfId="0" applyFont="1" applyFill="1" applyBorder="1" applyAlignment="1">
      <alignment horizontal="center" vertical="top" wrapText="1"/>
    </xf>
    <xf numFmtId="0" fontId="45" fillId="0" borderId="0" xfId="1" applyFont="1" applyAlignment="1" applyProtection="1">
      <alignment vertical="top" wrapText="1"/>
    </xf>
    <xf numFmtId="3" fontId="2" fillId="0" borderId="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151" fillId="0" borderId="58" xfId="3" applyFont="1" applyBorder="1" applyAlignment="1" applyProtection="1">
      <alignment horizontal="left" vertical="center" indent="6"/>
      <protection hidden="1"/>
    </xf>
    <xf numFmtId="0" fontId="151" fillId="0" borderId="58" xfId="3" applyFont="1" applyBorder="1" applyAlignment="1" applyProtection="1">
      <alignment horizontal="center" vertical="center"/>
      <protection hidden="1"/>
    </xf>
    <xf numFmtId="0" fontId="100" fillId="0" borderId="0" xfId="3" applyFont="1" applyBorder="1" applyAlignment="1" applyProtection="1">
      <alignment vertical="center"/>
      <protection hidden="1"/>
    </xf>
    <xf numFmtId="0" fontId="151" fillId="0" borderId="16" xfId="3" applyFont="1" applyBorder="1" applyAlignment="1" applyProtection="1">
      <alignment vertical="center" wrapText="1"/>
      <protection hidden="1"/>
    </xf>
    <xf numFmtId="1" fontId="100" fillId="0" borderId="16" xfId="1024" applyNumberFormat="1" applyFont="1" applyBorder="1" applyAlignment="1" applyProtection="1">
      <alignment vertical="center"/>
      <protection hidden="1"/>
    </xf>
    <xf numFmtId="1" fontId="100" fillId="0" borderId="17" xfId="1024" applyNumberFormat="1" applyFont="1" applyBorder="1" applyAlignment="1" applyProtection="1">
      <alignment vertical="center"/>
      <protection hidden="1"/>
    </xf>
    <xf numFmtId="1" fontId="151" fillId="0" borderId="32" xfId="1024" applyNumberFormat="1" applyFont="1" applyBorder="1" applyAlignment="1" applyProtection="1">
      <alignment vertical="center"/>
      <protection hidden="1"/>
    </xf>
    <xf numFmtId="2" fontId="100" fillId="0" borderId="0" xfId="1024" applyNumberFormat="1" applyFont="1" applyBorder="1" applyAlignment="1" applyProtection="1">
      <alignment vertical="center"/>
      <protection hidden="1"/>
    </xf>
    <xf numFmtId="2" fontId="151" fillId="0" borderId="11" xfId="1024" applyNumberFormat="1" applyFont="1" applyBorder="1" applyAlignment="1" applyProtection="1">
      <alignment horizontal="center" vertical="center" wrapText="1"/>
      <protection hidden="1"/>
    </xf>
    <xf numFmtId="1" fontId="100" fillId="0" borderId="3" xfId="1024" applyNumberFormat="1" applyFont="1" applyBorder="1" applyAlignment="1" applyProtection="1">
      <alignment horizontal="center" vertical="center" wrapText="1"/>
      <protection hidden="1"/>
    </xf>
    <xf numFmtId="245" fontId="100" fillId="0" borderId="3" xfId="1024" applyNumberFormat="1" applyFont="1" applyBorder="1" applyAlignment="1" applyProtection="1">
      <alignment horizontal="center" vertical="center" wrapText="1"/>
      <protection hidden="1"/>
    </xf>
    <xf numFmtId="2" fontId="100" fillId="0" borderId="71" xfId="1024" applyNumberFormat="1" applyFont="1" applyBorder="1" applyAlignment="1" applyProtection="1">
      <alignment horizontal="center" vertical="center" wrapText="1"/>
      <protection hidden="1"/>
    </xf>
    <xf numFmtId="1" fontId="100" fillId="0" borderId="11" xfId="1024" applyNumberFormat="1" applyFont="1" applyBorder="1" applyAlignment="1" applyProtection="1">
      <alignment horizontal="center" vertical="center"/>
      <protection hidden="1"/>
    </xf>
    <xf numFmtId="1" fontId="100" fillId="0" borderId="3" xfId="1024" applyNumberFormat="1" applyFont="1" applyBorder="1" applyAlignment="1" applyProtection="1">
      <alignment horizontal="center" vertical="center"/>
      <protection hidden="1"/>
    </xf>
    <xf numFmtId="1" fontId="151" fillId="0" borderId="4" xfId="1024" applyNumberFormat="1" applyFont="1" applyBorder="1" applyAlignment="1" applyProtection="1">
      <alignment horizontal="center" vertical="center"/>
      <protection hidden="1"/>
    </xf>
    <xf numFmtId="2" fontId="100" fillId="0" borderId="0" xfId="1024" applyNumberFormat="1" applyFont="1" applyBorder="1" applyAlignment="1" applyProtection="1">
      <alignment horizontal="center" vertical="center"/>
      <protection hidden="1"/>
    </xf>
    <xf numFmtId="2" fontId="151" fillId="4" borderId="12" xfId="1024" applyNumberFormat="1" applyFont="1" applyFill="1" applyBorder="1" applyAlignment="1" applyProtection="1">
      <alignment vertical="center" wrapText="1"/>
      <protection hidden="1"/>
    </xf>
    <xf numFmtId="2" fontId="151" fillId="4" borderId="55" xfId="1024" applyNumberFormat="1" applyFont="1" applyFill="1" applyBorder="1" applyAlignment="1" applyProtection="1">
      <alignment vertical="center" wrapText="1"/>
      <protection hidden="1"/>
    </xf>
    <xf numFmtId="2" fontId="151" fillId="4" borderId="6" xfId="1024" applyNumberFormat="1" applyFont="1" applyFill="1" applyBorder="1" applyAlignment="1" applyProtection="1">
      <alignment vertical="center" wrapText="1"/>
      <protection hidden="1"/>
    </xf>
    <xf numFmtId="2" fontId="151" fillId="0" borderId="12" xfId="1024" applyNumberFormat="1" applyFont="1" applyBorder="1" applyAlignment="1" applyProtection="1">
      <alignment vertical="center" wrapText="1"/>
      <protection hidden="1"/>
    </xf>
    <xf numFmtId="1" fontId="100" fillId="0" borderId="55" xfId="1024" applyNumberFormat="1" applyFont="1" applyBorder="1" applyAlignment="1" applyProtection="1">
      <alignment vertical="center"/>
      <protection hidden="1"/>
    </xf>
    <xf numFmtId="245" fontId="100" fillId="0" borderId="55" xfId="1024" applyNumberFormat="1" applyFont="1" applyBorder="1" applyAlignment="1" applyProtection="1">
      <alignment vertical="center"/>
      <protection hidden="1"/>
    </xf>
    <xf numFmtId="2" fontId="100" fillId="0" borderId="55" xfId="1024" applyNumberFormat="1" applyFont="1" applyBorder="1" applyAlignment="1" applyProtection="1">
      <alignment vertical="center"/>
      <protection hidden="1"/>
    </xf>
    <xf numFmtId="1" fontId="151" fillId="0" borderId="6" xfId="1024" applyNumberFormat="1" applyFont="1" applyBorder="1" applyAlignment="1" applyProtection="1">
      <alignment vertical="center"/>
      <protection hidden="1"/>
    </xf>
    <xf numFmtId="2" fontId="151" fillId="61" borderId="16" xfId="1024" applyNumberFormat="1" applyFont="1" applyFill="1" applyBorder="1" applyAlignment="1" applyProtection="1">
      <alignment vertical="center" wrapText="1"/>
      <protection hidden="1"/>
    </xf>
    <xf numFmtId="1" fontId="151" fillId="61" borderId="99" xfId="1024" applyNumberFormat="1" applyFont="1" applyFill="1" applyBorder="1" applyAlignment="1" applyProtection="1">
      <alignment vertical="center"/>
      <protection locked="0"/>
    </xf>
    <xf numFmtId="2" fontId="151" fillId="61" borderId="99" xfId="1024" applyNumberFormat="1" applyFont="1" applyFill="1" applyBorder="1" applyAlignment="1" applyProtection="1">
      <alignment vertical="center"/>
      <protection locked="0"/>
    </xf>
    <xf numFmtId="2" fontId="151" fillId="61" borderId="100" xfId="1024" applyNumberFormat="1" applyFont="1" applyFill="1" applyBorder="1" applyAlignment="1" applyProtection="1">
      <alignment vertical="center"/>
      <protection locked="0"/>
    </xf>
    <xf numFmtId="1" fontId="151" fillId="61" borderId="16" xfId="1024" applyNumberFormat="1" applyFont="1" applyFill="1" applyBorder="1" applyAlignment="1" applyProtection="1">
      <alignment vertical="center"/>
      <protection hidden="1"/>
    </xf>
    <xf numFmtId="1" fontId="151" fillId="61" borderId="17" xfId="1024" applyNumberFormat="1" applyFont="1" applyFill="1" applyBorder="1" applyAlignment="1" applyProtection="1">
      <alignment vertical="center"/>
      <protection hidden="1"/>
    </xf>
    <xf numFmtId="1" fontId="151" fillId="61" borderId="32" xfId="1024" applyNumberFormat="1" applyFont="1" applyFill="1" applyBorder="1" applyAlignment="1" applyProtection="1">
      <alignment vertical="center"/>
      <protection hidden="1"/>
    </xf>
    <xf numFmtId="2" fontId="100" fillId="0" borderId="0" xfId="1024" applyNumberFormat="1" applyFont="1" applyBorder="1" applyAlignment="1" applyProtection="1">
      <alignment vertical="center"/>
      <protection locked="0"/>
    </xf>
    <xf numFmtId="2" fontId="100" fillId="0" borderId="10" xfId="1024" applyNumberFormat="1" applyFont="1" applyBorder="1" applyAlignment="1" applyProtection="1">
      <alignment horizontal="left" vertical="center" wrapText="1"/>
      <protection hidden="1"/>
    </xf>
    <xf numFmtId="1" fontId="100" fillId="0" borderId="38" xfId="1024" applyNumberFormat="1" applyFont="1" applyBorder="1" applyAlignment="1" applyProtection="1">
      <alignment horizontal="center" vertical="center"/>
      <protection hidden="1"/>
    </xf>
    <xf numFmtId="1" fontId="100" fillId="0" borderId="56" xfId="1024" applyNumberFormat="1" applyFont="1" applyBorder="1" applyAlignment="1" applyProtection="1">
      <alignment horizontal="center" vertical="center"/>
      <protection hidden="1"/>
    </xf>
    <xf numFmtId="1" fontId="100" fillId="0" borderId="73" xfId="1024" applyNumberFormat="1" applyFont="1" applyBorder="1" applyAlignment="1" applyProtection="1">
      <alignment horizontal="center" vertical="center"/>
      <protection hidden="1"/>
    </xf>
    <xf numFmtId="1" fontId="100" fillId="0" borderId="1" xfId="1024" applyNumberFormat="1" applyFont="1" applyBorder="1" applyAlignment="1" applyProtection="1">
      <alignment vertical="center"/>
      <protection locked="0"/>
    </xf>
    <xf numFmtId="1" fontId="100" fillId="0" borderId="2" xfId="1024" applyNumberFormat="1" applyFont="1" applyBorder="1" applyAlignment="1" applyProtection="1">
      <alignment vertical="center"/>
      <protection locked="0"/>
    </xf>
    <xf numFmtId="1" fontId="151" fillId="46" borderId="5" xfId="1024" applyNumberFormat="1" applyFont="1" applyFill="1" applyBorder="1" applyAlignment="1" applyProtection="1">
      <alignment vertical="center"/>
      <protection hidden="1"/>
    </xf>
    <xf numFmtId="1" fontId="100" fillId="0" borderId="48" xfId="1024" applyNumberFormat="1" applyFont="1" applyBorder="1" applyAlignment="1" applyProtection="1">
      <alignment horizontal="center" vertical="center"/>
      <protection hidden="1"/>
    </xf>
    <xf numFmtId="1" fontId="100" fillId="0" borderId="0" xfId="1024" applyNumberFormat="1" applyFont="1" applyBorder="1" applyAlignment="1" applyProtection="1">
      <alignment horizontal="center" vertical="center"/>
      <protection hidden="1"/>
    </xf>
    <xf numFmtId="1" fontId="100" fillId="0" borderId="53" xfId="1024" applyNumberFormat="1" applyFont="1" applyBorder="1" applyAlignment="1" applyProtection="1">
      <alignment horizontal="center" vertical="center"/>
      <protection hidden="1"/>
    </xf>
    <xf numFmtId="2" fontId="100" fillId="0" borderId="101" xfId="1024" applyNumberFormat="1" applyFont="1" applyBorder="1" applyAlignment="1" applyProtection="1">
      <alignment horizontal="left" vertical="center" wrapText="1"/>
      <protection hidden="1"/>
    </xf>
    <xf numFmtId="1" fontId="100" fillId="0" borderId="24" xfId="1024" applyNumberFormat="1" applyFont="1" applyBorder="1" applyAlignment="1" applyProtection="1">
      <alignment vertical="center"/>
      <protection locked="0"/>
    </xf>
    <xf numFmtId="1" fontId="100" fillId="0" borderId="25" xfId="1024" applyNumberFormat="1" applyFont="1" applyBorder="1" applyAlignment="1" applyProtection="1">
      <alignment vertical="center"/>
      <protection locked="0"/>
    </xf>
    <xf numFmtId="1" fontId="151" fillId="46" borderId="26" xfId="1024" applyNumberFormat="1" applyFont="1" applyFill="1" applyBorder="1" applyAlignment="1" applyProtection="1">
      <alignment vertical="center"/>
      <protection hidden="1"/>
    </xf>
    <xf numFmtId="2" fontId="151" fillId="0" borderId="12" xfId="1024" applyNumberFormat="1" applyFont="1" applyBorder="1" applyAlignment="1" applyProtection="1">
      <alignment horizontal="left" vertical="center" wrapText="1"/>
      <protection hidden="1"/>
    </xf>
    <xf numFmtId="1" fontId="100" fillId="0" borderId="12" xfId="1024" applyNumberFormat="1" applyFont="1" applyBorder="1" applyAlignment="1" applyProtection="1">
      <alignment vertical="center"/>
      <protection hidden="1"/>
    </xf>
    <xf numFmtId="1" fontId="151" fillId="46" borderId="6" xfId="1024" applyNumberFormat="1" applyFont="1" applyFill="1" applyBorder="1" applyAlignment="1" applyProtection="1">
      <alignment vertical="center"/>
      <protection hidden="1"/>
    </xf>
    <xf numFmtId="181" fontId="100" fillId="0" borderId="39" xfId="1024" applyNumberFormat="1" applyFont="1" applyBorder="1" applyAlignment="1" applyProtection="1">
      <alignment horizontal="left" vertical="center" wrapText="1"/>
      <protection hidden="1"/>
    </xf>
    <xf numFmtId="1" fontId="100" fillId="0" borderId="46" xfId="1024" applyNumberFormat="1" applyFont="1" applyBorder="1" applyAlignment="1" applyProtection="1">
      <alignment vertical="center"/>
      <protection locked="0"/>
    </xf>
    <xf numFmtId="1" fontId="100" fillId="0" borderId="47" xfId="1024" applyNumberFormat="1" applyFont="1" applyBorder="1" applyAlignment="1" applyProtection="1">
      <alignment vertical="center"/>
      <protection locked="0"/>
    </xf>
    <xf numFmtId="1" fontId="151" fillId="46" borderId="31" xfId="1024" applyNumberFormat="1" applyFont="1" applyFill="1" applyBorder="1" applyAlignment="1" applyProtection="1">
      <alignment vertical="center"/>
      <protection hidden="1"/>
    </xf>
    <xf numFmtId="181" fontId="100" fillId="0" borderId="10" xfId="1024" applyNumberFormat="1" applyFont="1" applyBorder="1" applyAlignment="1" applyProtection="1">
      <alignment horizontal="left" vertical="center" wrapText="1"/>
      <protection hidden="1"/>
    </xf>
    <xf numFmtId="1" fontId="100" fillId="0" borderId="2" xfId="1024" applyNumberFormat="1" applyFont="1" applyBorder="1" applyAlignment="1" applyProtection="1">
      <alignment vertical="center"/>
      <protection hidden="1"/>
    </xf>
    <xf numFmtId="1" fontId="151" fillId="46" borderId="43" xfId="1024" applyNumberFormat="1" applyFont="1" applyFill="1" applyBorder="1" applyAlignment="1" applyProtection="1">
      <alignment vertical="center"/>
      <protection hidden="1"/>
    </xf>
    <xf numFmtId="2" fontId="100" fillId="2" borderId="10" xfId="1024" applyNumberFormat="1" applyFont="1" applyFill="1" applyBorder="1" applyAlignment="1" applyProtection="1">
      <alignment horizontal="left" vertical="center" wrapText="1"/>
      <protection hidden="1"/>
    </xf>
    <xf numFmtId="1" fontId="100" fillId="0" borderId="35" xfId="1024" applyNumberFormat="1" applyFont="1" applyBorder="1" applyAlignment="1" applyProtection="1">
      <alignment horizontal="center" vertical="center"/>
      <protection hidden="1"/>
    </xf>
    <xf numFmtId="1" fontId="100" fillId="0" borderId="57" xfId="1024" applyNumberFormat="1" applyFont="1" applyBorder="1" applyAlignment="1" applyProtection="1">
      <alignment horizontal="center" vertical="center"/>
      <protection hidden="1"/>
    </xf>
    <xf numFmtId="1" fontId="100" fillId="0" borderId="51" xfId="1024" applyNumberFormat="1" applyFont="1" applyBorder="1" applyAlignment="1" applyProtection="1">
      <alignment horizontal="center" vertical="center"/>
      <protection hidden="1"/>
    </xf>
    <xf numFmtId="1" fontId="100" fillId="2" borderId="42" xfId="1024" applyNumberFormat="1" applyFont="1" applyFill="1" applyBorder="1" applyAlignment="1" applyProtection="1">
      <alignment vertical="center"/>
      <protection hidden="1"/>
    </xf>
    <xf numFmtId="1" fontId="151" fillId="2" borderId="5" xfId="1024" applyNumberFormat="1" applyFont="1" applyFill="1" applyBorder="1" applyAlignment="1" applyProtection="1">
      <alignment vertical="center"/>
      <protection hidden="1"/>
    </xf>
    <xf numFmtId="2" fontId="100" fillId="60" borderId="7" xfId="1024" applyNumberFormat="1" applyFont="1" applyFill="1" applyBorder="1" applyAlignment="1" applyProtection="1">
      <alignment horizontal="left" vertical="center" wrapText="1"/>
      <protection hidden="1"/>
    </xf>
    <xf numFmtId="1" fontId="100" fillId="60" borderId="58" xfId="1024" applyNumberFormat="1" applyFont="1" applyFill="1" applyBorder="1" applyAlignment="1" applyProtection="1">
      <alignment horizontal="center" vertical="center"/>
      <protection hidden="1"/>
    </xf>
    <xf numFmtId="245" fontId="100" fillId="60" borderId="58" xfId="1024" applyNumberFormat="1" applyFont="1" applyFill="1" applyBorder="1" applyAlignment="1" applyProtection="1">
      <alignment horizontal="center" vertical="center"/>
      <protection hidden="1"/>
    </xf>
    <xf numFmtId="1" fontId="100" fillId="60" borderId="11" xfId="1024" applyNumberFormat="1" applyFont="1" applyFill="1" applyBorder="1" applyAlignment="1" applyProtection="1">
      <alignment vertical="center"/>
      <protection hidden="1"/>
    </xf>
    <xf numFmtId="1" fontId="100" fillId="60" borderId="3" xfId="1024" applyNumberFormat="1" applyFont="1" applyFill="1" applyBorder="1" applyAlignment="1" applyProtection="1">
      <alignment vertical="center"/>
      <protection hidden="1"/>
    </xf>
    <xf numFmtId="1" fontId="100" fillId="60" borderId="4" xfId="1024" applyNumberFormat="1" applyFont="1" applyFill="1" applyBorder="1" applyAlignment="1" applyProtection="1">
      <alignment vertical="center"/>
      <protection hidden="1"/>
    </xf>
    <xf numFmtId="1" fontId="151" fillId="61" borderId="17" xfId="1024" applyNumberFormat="1" applyFont="1" applyFill="1" applyBorder="1" applyAlignment="1" applyProtection="1">
      <alignment vertical="center"/>
      <protection locked="0"/>
    </xf>
    <xf numFmtId="245" fontId="151" fillId="61" borderId="17" xfId="1024" applyNumberFormat="1" applyFont="1" applyFill="1" applyBorder="1" applyAlignment="1" applyProtection="1">
      <alignment vertical="center"/>
      <protection locked="0"/>
    </xf>
    <xf numFmtId="2" fontId="100" fillId="0" borderId="1" xfId="1024" applyNumberFormat="1" applyFont="1" applyBorder="1" applyAlignment="1" applyProtection="1">
      <alignment horizontal="left" vertical="center" wrapText="1"/>
      <protection hidden="1"/>
    </xf>
    <xf numFmtId="2" fontId="100" fillId="0" borderId="24" xfId="1024" applyNumberFormat="1" applyFont="1" applyBorder="1" applyAlignment="1" applyProtection="1">
      <alignment horizontal="left" vertical="center" wrapText="1"/>
      <protection hidden="1"/>
    </xf>
    <xf numFmtId="2" fontId="151" fillId="0" borderId="22" xfId="1024" applyNumberFormat="1" applyFont="1" applyBorder="1" applyAlignment="1" applyProtection="1">
      <alignment horizontal="left" vertical="center" wrapText="1"/>
      <protection hidden="1"/>
    </xf>
    <xf numFmtId="181" fontId="100" fillId="0" borderId="30" xfId="1024" applyNumberFormat="1" applyFont="1" applyBorder="1" applyAlignment="1" applyProtection="1">
      <alignment horizontal="left" vertical="center" wrapText="1"/>
      <protection hidden="1"/>
    </xf>
    <xf numFmtId="181" fontId="100" fillId="0" borderId="1" xfId="1024" applyNumberFormat="1" applyFont="1" applyBorder="1" applyAlignment="1" applyProtection="1">
      <alignment horizontal="left" vertical="center" wrapText="1"/>
      <protection hidden="1"/>
    </xf>
    <xf numFmtId="1" fontId="100" fillId="0" borderId="30" xfId="1024" applyNumberFormat="1" applyFont="1" applyBorder="1" applyAlignment="1" applyProtection="1">
      <alignment vertical="center"/>
      <protection locked="0"/>
    </xf>
    <xf numFmtId="1" fontId="100" fillId="0" borderId="33" xfId="1024" applyNumberFormat="1" applyFont="1" applyBorder="1" applyAlignment="1" applyProtection="1">
      <alignment vertical="center"/>
      <protection locked="0"/>
    </xf>
    <xf numFmtId="2" fontId="100" fillId="2" borderId="1" xfId="1024" applyNumberFormat="1" applyFont="1" applyFill="1" applyBorder="1" applyAlignment="1" applyProtection="1">
      <alignment horizontal="left" vertical="center" wrapText="1"/>
      <protection hidden="1"/>
    </xf>
    <xf numFmtId="0" fontId="264" fillId="0" borderId="0" xfId="1061"/>
    <xf numFmtId="1" fontId="100" fillId="60" borderId="58" xfId="1024" applyNumberFormat="1" applyFont="1" applyFill="1" applyBorder="1" applyAlignment="1" applyProtection="1">
      <alignment horizontal="center" vertical="center"/>
      <protection locked="0"/>
    </xf>
    <xf numFmtId="245" fontId="100" fillId="60" borderId="58" xfId="1024" applyNumberFormat="1" applyFont="1" applyFill="1" applyBorder="1" applyAlignment="1" applyProtection="1">
      <alignment horizontal="center" vertical="center"/>
      <protection locked="0"/>
    </xf>
    <xf numFmtId="2" fontId="151" fillId="61" borderId="60" xfId="1024" applyNumberFormat="1" applyFont="1" applyFill="1" applyBorder="1" applyAlignment="1" applyProtection="1">
      <alignment vertical="center"/>
      <protection locked="0"/>
    </xf>
    <xf numFmtId="1" fontId="100" fillId="0" borderId="1" xfId="1024" applyNumberFormat="1" applyFont="1" applyBorder="1" applyAlignment="1" applyProtection="1">
      <alignment vertical="center"/>
      <protection hidden="1"/>
    </xf>
    <xf numFmtId="1" fontId="100" fillId="0" borderId="42" xfId="1024" applyNumberFormat="1" applyFont="1" applyBorder="1" applyAlignment="1" applyProtection="1">
      <alignment vertical="center"/>
      <protection locked="0"/>
    </xf>
    <xf numFmtId="1" fontId="100" fillId="0" borderId="55" xfId="1024" applyNumberFormat="1" applyFont="1" applyBorder="1" applyAlignment="1" applyProtection="1">
      <alignment vertical="center"/>
      <protection locked="0"/>
    </xf>
    <xf numFmtId="1" fontId="100" fillId="0" borderId="36" xfId="1024" applyNumberFormat="1" applyFont="1" applyBorder="1" applyAlignment="1" applyProtection="1">
      <alignment vertical="center"/>
      <protection locked="0"/>
    </xf>
    <xf numFmtId="1" fontId="100" fillId="0" borderId="10" xfId="1024" applyNumberFormat="1" applyFont="1" applyBorder="1" applyAlignment="1" applyProtection="1">
      <alignment vertical="center"/>
      <protection locked="0"/>
    </xf>
    <xf numFmtId="2" fontId="100" fillId="0" borderId="0" xfId="1024" applyNumberFormat="1" applyFont="1" applyFill="1" applyBorder="1" applyAlignment="1" applyProtection="1">
      <alignment horizontal="left" vertical="center" wrapText="1"/>
      <protection hidden="1"/>
    </xf>
    <xf numFmtId="1" fontId="100" fillId="0" borderId="0" xfId="1024" applyNumberFormat="1" applyFont="1" applyFill="1" applyBorder="1" applyAlignment="1" applyProtection="1">
      <alignment horizontal="center" vertical="center"/>
      <protection hidden="1"/>
    </xf>
    <xf numFmtId="245" fontId="100" fillId="0" borderId="0" xfId="1024" applyNumberFormat="1" applyFont="1" applyFill="1" applyBorder="1" applyAlignment="1" applyProtection="1">
      <alignment horizontal="center" vertical="center"/>
      <protection hidden="1"/>
    </xf>
    <xf numFmtId="1" fontId="100" fillId="0" borderId="30" xfId="1024" applyNumberFormat="1" applyFont="1" applyFill="1" applyBorder="1" applyAlignment="1" applyProtection="1">
      <alignment vertical="center"/>
      <protection hidden="1"/>
    </xf>
    <xf numFmtId="1" fontId="100" fillId="0" borderId="33" xfId="1024" applyNumberFormat="1" applyFont="1" applyFill="1" applyBorder="1" applyAlignment="1" applyProtection="1">
      <alignment vertical="center"/>
      <protection hidden="1"/>
    </xf>
    <xf numFmtId="1" fontId="100" fillId="0" borderId="31" xfId="1024" applyNumberFormat="1" applyFont="1" applyFill="1" applyBorder="1" applyAlignment="1" applyProtection="1">
      <alignment vertical="center"/>
      <protection hidden="1"/>
    </xf>
    <xf numFmtId="2" fontId="100" fillId="0" borderId="0" xfId="1024" applyNumberFormat="1" applyFont="1" applyFill="1" applyBorder="1" applyAlignment="1" applyProtection="1">
      <alignment vertical="center"/>
      <protection hidden="1"/>
    </xf>
    <xf numFmtId="0" fontId="100" fillId="2" borderId="8" xfId="3" applyFont="1" applyFill="1" applyBorder="1" applyAlignment="1" applyProtection="1">
      <alignment vertical="center" wrapText="1"/>
      <protection hidden="1"/>
    </xf>
    <xf numFmtId="1" fontId="100" fillId="2" borderId="8" xfId="3" applyNumberFormat="1" applyFont="1" applyFill="1" applyBorder="1" applyAlignment="1" applyProtection="1">
      <alignment vertical="center"/>
      <protection locked="0"/>
    </xf>
    <xf numFmtId="1" fontId="100" fillId="2" borderId="37" xfId="3" applyNumberFormat="1" applyFont="1" applyFill="1" applyBorder="1" applyAlignment="1" applyProtection="1">
      <alignment vertical="center"/>
      <protection locked="0"/>
    </xf>
    <xf numFmtId="245" fontId="100" fillId="2" borderId="37" xfId="3" applyNumberFormat="1" applyFont="1" applyFill="1" applyBorder="1" applyAlignment="1" applyProtection="1">
      <alignment vertical="center"/>
      <protection locked="0"/>
    </xf>
    <xf numFmtId="2" fontId="100" fillId="2" borderId="37" xfId="3" applyNumberFormat="1" applyFont="1" applyFill="1" applyBorder="1" applyAlignment="1" applyProtection="1">
      <alignment vertical="center"/>
      <protection locked="0"/>
    </xf>
    <xf numFmtId="1" fontId="100" fillId="2" borderId="1" xfId="3" applyNumberFormat="1" applyFont="1" applyFill="1" applyBorder="1" applyAlignment="1" applyProtection="1">
      <alignment vertical="center"/>
      <protection hidden="1"/>
    </xf>
    <xf numFmtId="1" fontId="100" fillId="2" borderId="2" xfId="3" applyNumberFormat="1" applyFont="1" applyFill="1" applyBorder="1" applyAlignment="1" applyProtection="1">
      <alignment vertical="center"/>
      <protection hidden="1"/>
    </xf>
    <xf numFmtId="1" fontId="151" fillId="2" borderId="5" xfId="3" applyNumberFormat="1" applyFont="1" applyFill="1" applyBorder="1" applyAlignment="1" applyProtection="1">
      <alignment vertical="center"/>
      <protection hidden="1"/>
    </xf>
    <xf numFmtId="2" fontId="100" fillId="60" borderId="2" xfId="1024" applyNumberFormat="1" applyFont="1" applyFill="1" applyBorder="1" applyAlignment="1" applyProtection="1">
      <alignment horizontal="left" vertical="center" wrapText="1"/>
      <protection hidden="1"/>
    </xf>
    <xf numFmtId="1" fontId="100" fillId="60" borderId="0" xfId="1024" applyNumberFormat="1" applyFont="1" applyFill="1" applyBorder="1" applyAlignment="1" applyProtection="1">
      <alignment horizontal="center" vertical="center"/>
      <protection locked="0"/>
    </xf>
    <xf numFmtId="245" fontId="100" fillId="60" borderId="0" xfId="1024" applyNumberFormat="1" applyFont="1" applyFill="1" applyBorder="1" applyAlignment="1" applyProtection="1">
      <alignment horizontal="center" vertical="center"/>
      <protection locked="0"/>
    </xf>
    <xf numFmtId="1" fontId="100" fillId="60" borderId="1" xfId="1024" applyNumberFormat="1" applyFont="1" applyFill="1" applyBorder="1" applyAlignment="1" applyProtection="1">
      <alignment vertical="center"/>
      <protection hidden="1"/>
    </xf>
    <xf numFmtId="1" fontId="100" fillId="60" borderId="2" xfId="1024" applyNumberFormat="1" applyFont="1" applyFill="1" applyBorder="1" applyAlignment="1" applyProtection="1">
      <alignment vertical="center"/>
      <protection hidden="1"/>
    </xf>
    <xf numFmtId="1" fontId="100" fillId="60" borderId="5" xfId="1024" applyNumberFormat="1" applyFont="1" applyFill="1" applyBorder="1" applyAlignment="1" applyProtection="1">
      <alignment vertical="center"/>
      <protection hidden="1"/>
    </xf>
    <xf numFmtId="0" fontId="100" fillId="46" borderId="2" xfId="3" applyFont="1" applyFill="1" applyBorder="1" applyAlignment="1" applyProtection="1">
      <alignment vertical="center" wrapText="1"/>
      <protection hidden="1"/>
    </xf>
    <xf numFmtId="1" fontId="100" fillId="46" borderId="2" xfId="3" applyNumberFormat="1" applyFont="1" applyFill="1" applyBorder="1" applyAlignment="1" applyProtection="1">
      <alignment vertical="center"/>
      <protection hidden="1"/>
    </xf>
    <xf numFmtId="245" fontId="100" fillId="46" borderId="2" xfId="3" applyNumberFormat="1" applyFont="1" applyFill="1" applyBorder="1" applyAlignment="1" applyProtection="1">
      <alignment vertical="center"/>
      <protection hidden="1"/>
    </xf>
    <xf numFmtId="2" fontId="100" fillId="46" borderId="8" xfId="3" applyNumberFormat="1" applyFont="1" applyFill="1" applyBorder="1" applyAlignment="1" applyProtection="1">
      <alignment vertical="center"/>
      <protection hidden="1"/>
    </xf>
    <xf numFmtId="1" fontId="100" fillId="46" borderId="11" xfId="3" applyNumberFormat="1" applyFont="1" applyFill="1" applyBorder="1" applyAlignment="1" applyProtection="1">
      <alignment vertical="center"/>
      <protection hidden="1"/>
    </xf>
    <xf numFmtId="1" fontId="100" fillId="46" borderId="3" xfId="3" applyNumberFormat="1" applyFont="1" applyFill="1" applyBorder="1" applyAlignment="1" applyProtection="1">
      <alignment vertical="center"/>
      <protection hidden="1"/>
    </xf>
    <xf numFmtId="1" fontId="151" fillId="46" borderId="4" xfId="3" applyNumberFormat="1" applyFont="1" applyFill="1" applyBorder="1" applyAlignment="1" applyProtection="1">
      <alignment vertical="center"/>
      <protection hidden="1"/>
    </xf>
    <xf numFmtId="16" fontId="100" fillId="0" borderId="0" xfId="3" applyNumberFormat="1" applyFont="1" applyFill="1" applyBorder="1" applyAlignment="1" applyProtection="1">
      <alignment vertical="center" wrapText="1"/>
      <protection hidden="1"/>
    </xf>
    <xf numFmtId="1" fontId="100" fillId="0" borderId="0" xfId="3" applyNumberFormat="1" applyFont="1" applyFill="1" applyBorder="1" applyAlignment="1" applyProtection="1">
      <alignment vertical="center"/>
      <protection hidden="1"/>
    </xf>
    <xf numFmtId="245" fontId="100" fillId="0" borderId="0" xfId="3" applyNumberFormat="1" applyFont="1" applyFill="1" applyBorder="1" applyAlignment="1" applyProtection="1">
      <alignment vertical="center"/>
      <protection hidden="1"/>
    </xf>
    <xf numFmtId="2" fontId="100" fillId="0" borderId="0" xfId="3" applyNumberFormat="1" applyFont="1" applyFill="1" applyBorder="1" applyAlignment="1" applyProtection="1">
      <alignment horizontal="right" vertical="center"/>
      <protection hidden="1"/>
    </xf>
    <xf numFmtId="1" fontId="151" fillId="0" borderId="0" xfId="3" applyNumberFormat="1" applyFont="1" applyFill="1" applyBorder="1" applyAlignment="1" applyProtection="1">
      <alignment vertical="center"/>
      <protection hidden="1"/>
    </xf>
    <xf numFmtId="0" fontId="100" fillId="0" borderId="0" xfId="3" applyFont="1" applyFill="1" applyBorder="1" applyAlignment="1" applyProtection="1">
      <alignment vertical="center"/>
      <protection locked="0"/>
    </xf>
    <xf numFmtId="0" fontId="100" fillId="0" borderId="0" xfId="3" applyFont="1" applyFill="1" applyBorder="1" applyAlignment="1" applyProtection="1">
      <alignment vertical="center" wrapText="1"/>
      <protection hidden="1"/>
    </xf>
    <xf numFmtId="2" fontId="100" fillId="0" borderId="0" xfId="3" applyNumberFormat="1" applyFont="1" applyFill="1" applyBorder="1" applyAlignment="1" applyProtection="1">
      <alignment vertical="center"/>
      <protection hidden="1"/>
    </xf>
    <xf numFmtId="0" fontId="100" fillId="0" borderId="0" xfId="3" applyFont="1" applyAlignment="1" applyProtection="1">
      <alignment vertical="center" wrapText="1"/>
      <protection hidden="1"/>
    </xf>
    <xf numFmtId="1" fontId="100" fillId="0" borderId="0" xfId="3" applyNumberFormat="1" applyFont="1" applyAlignment="1" applyProtection="1">
      <alignment vertical="center"/>
      <protection locked="0"/>
    </xf>
    <xf numFmtId="245" fontId="100" fillId="0" borderId="0" xfId="3" applyNumberFormat="1" applyFont="1" applyAlignment="1" applyProtection="1">
      <alignment vertical="center"/>
      <protection locked="0"/>
    </xf>
    <xf numFmtId="0" fontId="100" fillId="0" borderId="0" xfId="3" applyFont="1" applyAlignment="1" applyProtection="1">
      <alignment vertical="center"/>
      <protection locked="0"/>
    </xf>
    <xf numFmtId="1" fontId="151" fillId="0" borderId="0" xfId="3" applyNumberFormat="1" applyFont="1" applyAlignment="1" applyProtection="1">
      <alignment vertical="center"/>
      <protection locked="0"/>
    </xf>
    <xf numFmtId="245" fontId="100" fillId="0" borderId="16" xfId="3" applyNumberFormat="1" applyFont="1" applyBorder="1" applyAlignment="1" applyProtection="1">
      <alignment horizontal="center" vertical="center" wrapText="1"/>
      <protection locked="0"/>
    </xf>
    <xf numFmtId="0" fontId="100" fillId="0" borderId="17" xfId="3" applyFont="1" applyBorder="1" applyAlignment="1" applyProtection="1">
      <alignment horizontal="center" vertical="center" wrapText="1"/>
      <protection locked="0"/>
    </xf>
    <xf numFmtId="0" fontId="100" fillId="0" borderId="0" xfId="3" applyFont="1" applyBorder="1" applyAlignment="1" applyProtection="1">
      <alignment horizontal="center" vertical="center" wrapText="1"/>
      <protection locked="0"/>
    </xf>
    <xf numFmtId="245" fontId="100" fillId="0" borderId="16" xfId="3" applyNumberFormat="1" applyFont="1" applyBorder="1" applyAlignment="1" applyProtection="1">
      <alignment vertical="center"/>
      <protection locked="0"/>
    </xf>
    <xf numFmtId="0" fontId="100" fillId="0" borderId="17" xfId="3" applyFont="1" applyBorder="1" applyAlignment="1" applyProtection="1">
      <alignment vertical="center"/>
      <protection locked="0"/>
    </xf>
    <xf numFmtId="181" fontId="100" fillId="0" borderId="17" xfId="3" applyNumberFormat="1" applyFont="1" applyBorder="1" applyAlignment="1" applyProtection="1">
      <alignment vertical="center"/>
      <protection locked="0"/>
    </xf>
    <xf numFmtId="1" fontId="100" fillId="0" borderId="17" xfId="3" applyNumberFormat="1" applyFont="1" applyBorder="1" applyAlignment="1" applyProtection="1">
      <alignment vertical="center"/>
      <protection locked="0"/>
    </xf>
    <xf numFmtId="245" fontId="100" fillId="0" borderId="1" xfId="3" applyNumberFormat="1" applyFont="1" applyBorder="1" applyAlignment="1" applyProtection="1">
      <alignment vertical="center"/>
      <protection locked="0"/>
    </xf>
    <xf numFmtId="0" fontId="100" fillId="0" borderId="2" xfId="3" applyFont="1" applyBorder="1" applyAlignment="1" applyProtection="1">
      <alignment vertical="center"/>
      <protection locked="0"/>
    </xf>
    <xf numFmtId="181" fontId="100" fillId="0" borderId="2" xfId="3" applyNumberFormat="1" applyFont="1" applyBorder="1" applyAlignment="1" applyProtection="1">
      <alignment vertical="center"/>
      <protection locked="0"/>
    </xf>
    <xf numFmtId="1" fontId="100" fillId="0" borderId="2" xfId="3" applyNumberFormat="1" applyFont="1" applyBorder="1" applyAlignment="1" applyProtection="1">
      <alignment vertical="center"/>
      <protection locked="0"/>
    </xf>
    <xf numFmtId="245" fontId="100" fillId="0" borderId="11" xfId="3" applyNumberFormat="1" applyFont="1" applyBorder="1" applyAlignment="1" applyProtection="1">
      <alignment vertical="center"/>
      <protection locked="0"/>
    </xf>
    <xf numFmtId="0" fontId="100" fillId="0" borderId="3" xfId="3" applyFont="1" applyBorder="1" applyAlignment="1" applyProtection="1">
      <alignment vertical="center"/>
      <protection locked="0"/>
    </xf>
    <xf numFmtId="181" fontId="100" fillId="0" borderId="3" xfId="3" applyNumberFormat="1" applyFont="1" applyBorder="1" applyAlignment="1" applyProtection="1">
      <alignment vertical="center"/>
      <protection locked="0"/>
    </xf>
    <xf numFmtId="1" fontId="100" fillId="0" borderId="3" xfId="3" applyNumberFormat="1" applyFont="1" applyBorder="1" applyAlignment="1" applyProtection="1">
      <alignment vertical="center"/>
      <protection locked="0"/>
    </xf>
    <xf numFmtId="0" fontId="265" fillId="0" borderId="2" xfId="3" applyFont="1" applyBorder="1" applyAlignment="1" applyProtection="1">
      <alignment vertical="center"/>
      <protection locked="0"/>
    </xf>
    <xf numFmtId="181" fontId="265" fillId="0" borderId="2" xfId="3" applyNumberFormat="1" applyFont="1" applyBorder="1" applyAlignment="1" applyProtection="1">
      <alignment vertical="center"/>
      <protection locked="0"/>
    </xf>
    <xf numFmtId="1" fontId="100" fillId="0" borderId="101" xfId="1024" applyNumberFormat="1" applyFont="1" applyBorder="1" applyAlignment="1" applyProtection="1">
      <alignment vertical="center"/>
      <protection hidden="1"/>
    </xf>
    <xf numFmtId="1" fontId="100" fillId="0" borderId="56" xfId="1024" applyNumberFormat="1" applyFont="1" applyBorder="1" applyAlignment="1" applyProtection="1">
      <alignment vertical="center"/>
      <protection hidden="1"/>
    </xf>
    <xf numFmtId="1" fontId="100" fillId="0" borderId="50" xfId="1024" applyNumberFormat="1" applyFont="1" applyBorder="1" applyAlignment="1" applyProtection="1">
      <alignment vertical="center"/>
      <protection hidden="1"/>
    </xf>
    <xf numFmtId="1" fontId="100" fillId="0" borderId="45" xfId="1024" applyNumberFormat="1" applyFont="1" applyBorder="1" applyAlignment="1" applyProtection="1">
      <alignment vertical="center"/>
      <protection hidden="1"/>
    </xf>
    <xf numFmtId="1" fontId="100" fillId="0" borderId="0" xfId="1024" applyNumberFormat="1" applyFont="1" applyBorder="1" applyAlignment="1" applyProtection="1">
      <alignment vertical="center"/>
      <protection hidden="1"/>
    </xf>
    <xf numFmtId="1" fontId="100" fillId="0" borderId="52" xfId="1024" applyNumberFormat="1" applyFont="1" applyBorder="1" applyAlignment="1" applyProtection="1">
      <alignment vertical="center"/>
      <protection hidden="1"/>
    </xf>
    <xf numFmtId="0" fontId="265" fillId="0" borderId="0" xfId="1023" applyFont="1" applyAlignment="1" applyProtection="1">
      <alignment vertical="center"/>
      <protection locked="0"/>
    </xf>
    <xf numFmtId="0" fontId="265" fillId="0" borderId="0" xfId="1023" applyFont="1" applyAlignment="1" applyProtection="1">
      <alignment horizontal="left" vertical="center"/>
      <protection locked="0"/>
    </xf>
    <xf numFmtId="3" fontId="265" fillId="0" borderId="0" xfId="1023" applyNumberFormat="1" applyFont="1" applyAlignment="1" applyProtection="1">
      <alignment horizontal="right" vertical="center"/>
      <protection locked="0"/>
    </xf>
    <xf numFmtId="168" fontId="265" fillId="0" borderId="0" xfId="1023" applyNumberFormat="1" applyFont="1" applyAlignment="1" applyProtection="1">
      <alignment horizontal="right" vertical="center"/>
      <protection locked="0"/>
    </xf>
    <xf numFmtId="4" fontId="265" fillId="0" borderId="0" xfId="1023" applyNumberFormat="1" applyFont="1" applyAlignment="1" applyProtection="1">
      <alignment horizontal="right" vertical="center"/>
      <protection locked="0"/>
    </xf>
    <xf numFmtId="0" fontId="47" fillId="0" borderId="0" xfId="1023" applyFont="1" applyAlignment="1" applyProtection="1">
      <alignment vertical="center"/>
      <protection locked="0"/>
    </xf>
    <xf numFmtId="0" fontId="265" fillId="0" borderId="0" xfId="1023" applyFont="1" applyAlignment="1" applyProtection="1">
      <alignment horizontal="center" vertical="center" wrapText="1"/>
      <protection locked="0"/>
    </xf>
    <xf numFmtId="3" fontId="47" fillId="0" borderId="0" xfId="1023" applyNumberFormat="1" applyFont="1" applyAlignment="1" applyProtection="1">
      <alignment horizontal="right" vertical="center"/>
      <protection locked="0"/>
    </xf>
    <xf numFmtId="168" fontId="47" fillId="0" borderId="0" xfId="1023" applyNumberFormat="1" applyFont="1" applyAlignment="1" applyProtection="1">
      <alignment vertical="center"/>
      <protection locked="0"/>
    </xf>
    <xf numFmtId="2" fontId="47" fillId="0" borderId="0" xfId="1023" applyNumberFormat="1" applyFont="1" applyAlignment="1" applyProtection="1">
      <alignment vertical="center"/>
      <protection locked="0"/>
    </xf>
    <xf numFmtId="3" fontId="47" fillId="0" borderId="0" xfId="1023" applyNumberFormat="1" applyFont="1" applyAlignment="1" applyProtection="1">
      <alignment vertical="center"/>
      <protection locked="0"/>
    </xf>
    <xf numFmtId="168" fontId="47" fillId="0" borderId="0" xfId="1023" applyNumberFormat="1" applyFont="1" applyAlignment="1" applyProtection="1">
      <alignment horizontal="right" vertical="center"/>
      <protection locked="0"/>
    </xf>
    <xf numFmtId="245" fontId="47" fillId="0" borderId="0" xfId="1023" applyNumberFormat="1" applyFont="1" applyAlignment="1" applyProtection="1">
      <alignment horizontal="right" vertical="center"/>
      <protection locked="0"/>
    </xf>
    <xf numFmtId="168" fontId="47" fillId="0" borderId="8" xfId="1023" applyNumberFormat="1" applyFont="1" applyBorder="1" applyAlignment="1" applyProtection="1">
      <alignment horizontal="center" vertical="center" wrapText="1"/>
      <protection locked="0"/>
    </xf>
    <xf numFmtId="49" fontId="47" fillId="0" borderId="11" xfId="1023" applyNumberFormat="1" applyFont="1" applyBorder="1" applyAlignment="1" applyProtection="1">
      <alignment horizontal="center" vertical="center"/>
      <protection locked="0"/>
    </xf>
    <xf numFmtId="49" fontId="47" fillId="0" borderId="3" xfId="1023" applyNumberFormat="1" applyFont="1" applyBorder="1" applyAlignment="1" applyProtection="1">
      <alignment horizontal="center" vertical="center"/>
      <protection locked="0"/>
    </xf>
    <xf numFmtId="49" fontId="47" fillId="0" borderId="71" xfId="1023" applyNumberFormat="1" applyFont="1" applyBorder="1" applyAlignment="1" applyProtection="1">
      <alignment horizontal="center" vertical="center"/>
      <protection locked="0"/>
    </xf>
    <xf numFmtId="49" fontId="47" fillId="0" borderId="4" xfId="1023" applyNumberFormat="1" applyFont="1" applyBorder="1" applyAlignment="1" applyProtection="1">
      <alignment horizontal="center" vertical="center"/>
      <protection locked="0"/>
    </xf>
    <xf numFmtId="49" fontId="47" fillId="0" borderId="58" xfId="1023" applyNumberFormat="1" applyFont="1" applyBorder="1" applyAlignment="1" applyProtection="1">
      <alignment horizontal="center" vertical="center"/>
      <protection locked="0"/>
    </xf>
    <xf numFmtId="0" fontId="265" fillId="2" borderId="55" xfId="1023" applyFont="1" applyFill="1" applyBorder="1" applyAlignment="1" applyProtection="1">
      <alignment horizontal="center" vertical="center"/>
      <protection locked="0"/>
    </xf>
    <xf numFmtId="168" fontId="265" fillId="2" borderId="55" xfId="1023" applyNumberFormat="1" applyFont="1" applyFill="1" applyBorder="1" applyAlignment="1" applyProtection="1">
      <alignment horizontal="center" vertical="center"/>
      <protection locked="0"/>
    </xf>
    <xf numFmtId="245" fontId="265" fillId="2" borderId="55" xfId="1023" applyNumberFormat="1" applyFont="1" applyFill="1" applyBorder="1" applyAlignment="1" applyProtection="1">
      <alignment horizontal="center" vertical="center"/>
      <protection locked="0"/>
    </xf>
    <xf numFmtId="3" fontId="47" fillId="0" borderId="1" xfId="1023" applyNumberFormat="1" applyFont="1" applyBorder="1" applyAlignment="1" applyProtection="1">
      <alignment horizontal="right" vertical="center"/>
      <protection hidden="1"/>
    </xf>
    <xf numFmtId="3" fontId="47" fillId="0" borderId="2" xfId="1023" applyNumberFormat="1" applyFont="1" applyBorder="1" applyAlignment="1" applyProtection="1">
      <alignment horizontal="right" vertical="center"/>
      <protection hidden="1"/>
    </xf>
    <xf numFmtId="167" fontId="47" fillId="0" borderId="2" xfId="1023" applyNumberFormat="1" applyFont="1" applyBorder="1" applyAlignment="1" applyProtection="1">
      <alignment horizontal="right" vertical="center"/>
      <protection hidden="1"/>
    </xf>
    <xf numFmtId="1" fontId="47" fillId="2" borderId="8" xfId="1023" applyNumberFormat="1" applyFont="1" applyFill="1" applyBorder="1" applyAlignment="1" applyProtection="1">
      <alignment horizontal="right" vertical="center"/>
      <protection hidden="1"/>
    </xf>
    <xf numFmtId="3" fontId="47" fillId="0" borderId="8" xfId="1023" applyNumberFormat="1" applyFont="1" applyBorder="1" applyAlignment="1" applyProtection="1">
      <alignment horizontal="right" vertical="center"/>
      <protection hidden="1"/>
    </xf>
    <xf numFmtId="168" fontId="47" fillId="0" borderId="2" xfId="1023" applyNumberFormat="1" applyFont="1" applyBorder="1" applyAlignment="1" applyProtection="1">
      <alignment horizontal="right" vertical="center"/>
      <protection locked="0"/>
    </xf>
    <xf numFmtId="168" fontId="47" fillId="0" borderId="8" xfId="1023" applyNumberFormat="1" applyFont="1" applyBorder="1" applyAlignment="1" applyProtection="1">
      <alignment horizontal="right" vertical="center"/>
      <protection locked="0"/>
    </xf>
    <xf numFmtId="3" fontId="47" fillId="0" borderId="16" xfId="1023" applyNumberFormat="1" applyFont="1" applyBorder="1" applyAlignment="1" applyProtection="1">
      <alignment horizontal="right" vertical="center"/>
      <protection hidden="1"/>
    </xf>
    <xf numFmtId="1" fontId="47" fillId="2" borderId="60" xfId="1023" applyNumberFormat="1" applyFont="1" applyFill="1" applyBorder="1" applyAlignment="1" applyProtection="1">
      <alignment horizontal="right" vertical="center"/>
      <protection hidden="1"/>
    </xf>
    <xf numFmtId="3" fontId="47" fillId="0" borderId="17" xfId="1023" applyNumberFormat="1" applyFont="1" applyBorder="1" applyAlignment="1" applyProtection="1">
      <alignment horizontal="right" vertical="center"/>
      <protection hidden="1"/>
    </xf>
    <xf numFmtId="168" fontId="47" fillId="5" borderId="2" xfId="1023" applyNumberFormat="1" applyFont="1" applyFill="1" applyBorder="1" applyAlignment="1" applyProtection="1">
      <alignment horizontal="right" vertical="center"/>
      <protection locked="0"/>
    </xf>
    <xf numFmtId="3" fontId="47" fillId="0" borderId="24" xfId="1023" applyNumberFormat="1" applyFont="1" applyBorder="1" applyAlignment="1" applyProtection="1">
      <alignment horizontal="right" vertical="center"/>
      <protection hidden="1"/>
    </xf>
    <xf numFmtId="3" fontId="47" fillId="0" borderId="25" xfId="1023" applyNumberFormat="1" applyFont="1" applyBorder="1" applyAlignment="1" applyProtection="1">
      <alignment horizontal="right" vertical="center"/>
      <protection hidden="1"/>
    </xf>
    <xf numFmtId="167" fontId="47" fillId="0" borderId="25" xfId="1023" applyNumberFormat="1" applyFont="1" applyBorder="1" applyAlignment="1" applyProtection="1">
      <alignment horizontal="right" vertical="center"/>
      <protection hidden="1"/>
    </xf>
    <xf numFmtId="1" fontId="47" fillId="2" borderId="38" xfId="1023" applyNumberFormat="1" applyFont="1" applyFill="1" applyBorder="1" applyAlignment="1" applyProtection="1">
      <alignment horizontal="right" vertical="center"/>
      <protection hidden="1"/>
    </xf>
    <xf numFmtId="168" fontId="47" fillId="0" borderId="25" xfId="1023" applyNumberFormat="1" applyFont="1" applyBorder="1" applyAlignment="1" applyProtection="1">
      <alignment horizontal="right" vertical="center"/>
      <protection locked="0"/>
    </xf>
    <xf numFmtId="168" fontId="47" fillId="0" borderId="38" xfId="1023" applyNumberFormat="1" applyFont="1" applyBorder="1" applyAlignment="1" applyProtection="1">
      <alignment horizontal="right" vertical="center"/>
      <protection locked="0"/>
    </xf>
    <xf numFmtId="167" fontId="47" fillId="0" borderId="17" xfId="1023" applyNumberFormat="1" applyFont="1" applyBorder="1" applyAlignment="1" applyProtection="1">
      <alignment horizontal="right" vertical="center"/>
      <protection hidden="1"/>
    </xf>
    <xf numFmtId="167" fontId="47" fillId="0" borderId="17" xfId="1023" applyNumberFormat="1" applyFont="1" applyBorder="1" applyAlignment="1" applyProtection="1">
      <alignment horizontal="right" vertical="center"/>
      <protection locked="0"/>
    </xf>
    <xf numFmtId="167" fontId="47" fillId="0" borderId="60" xfId="1023" applyNumberFormat="1" applyFont="1" applyBorder="1" applyAlignment="1" applyProtection="1">
      <alignment horizontal="right" vertical="center"/>
      <protection locked="0"/>
    </xf>
    <xf numFmtId="168" fontId="47" fillId="0" borderId="17" xfId="1023" applyNumberFormat="1" applyFont="1" applyBorder="1" applyAlignment="1" applyProtection="1">
      <alignment horizontal="right" vertical="center"/>
      <protection locked="0"/>
    </xf>
    <xf numFmtId="168" fontId="47" fillId="0" borderId="60" xfId="1023" applyNumberFormat="1" applyFont="1" applyBorder="1" applyAlignment="1" applyProtection="1">
      <alignment horizontal="right" vertical="center"/>
      <protection locked="0"/>
    </xf>
    <xf numFmtId="3" fontId="47" fillId="0" borderId="11" xfId="1023" applyNumberFormat="1" applyFont="1" applyBorder="1" applyAlignment="1" applyProtection="1">
      <alignment horizontal="right" vertical="center"/>
      <protection hidden="1"/>
    </xf>
    <xf numFmtId="3" fontId="47" fillId="0" borderId="3" xfId="1023" applyNumberFormat="1" applyFont="1" applyBorder="1" applyAlignment="1" applyProtection="1">
      <alignment horizontal="right" vertical="center"/>
      <protection hidden="1"/>
    </xf>
    <xf numFmtId="167" fontId="47" fillId="0" borderId="3" xfId="1023" applyNumberFormat="1" applyFont="1" applyBorder="1" applyAlignment="1" applyProtection="1">
      <alignment horizontal="right" vertical="center"/>
      <protection hidden="1"/>
    </xf>
    <xf numFmtId="1" fontId="47" fillId="2" borderId="71" xfId="1023" applyNumberFormat="1" applyFont="1" applyFill="1" applyBorder="1" applyAlignment="1" applyProtection="1">
      <alignment horizontal="right" vertical="center"/>
      <protection hidden="1"/>
    </xf>
    <xf numFmtId="168" fontId="47" fillId="0" borderId="3" xfId="1023" applyNumberFormat="1" applyFont="1" applyBorder="1" applyAlignment="1" applyProtection="1">
      <alignment horizontal="right" vertical="center"/>
      <protection locked="0"/>
    </xf>
    <xf numFmtId="168" fontId="47" fillId="0" borderId="71" xfId="1023" applyNumberFormat="1" applyFont="1" applyBorder="1" applyAlignment="1" applyProtection="1">
      <alignment horizontal="right" vertical="center"/>
      <protection locked="0"/>
    </xf>
    <xf numFmtId="0" fontId="265" fillId="0" borderId="0" xfId="1023" applyFont="1" applyAlignment="1" applyProtection="1">
      <alignment horizontal="center" vertical="center"/>
      <protection locked="0"/>
    </xf>
    <xf numFmtId="0" fontId="47" fillId="0" borderId="0" xfId="1023" applyFont="1" applyAlignment="1" applyProtection="1">
      <alignment vertical="center" wrapText="1"/>
      <protection locked="0"/>
    </xf>
    <xf numFmtId="181" fontId="47" fillId="0" borderId="0" xfId="1023" applyNumberFormat="1" applyFont="1" applyAlignment="1" applyProtection="1">
      <alignment horizontal="right" vertical="center"/>
      <protection locked="0"/>
    </xf>
    <xf numFmtId="167" fontId="47" fillId="5" borderId="2" xfId="1023" applyNumberFormat="1" applyFont="1" applyFill="1" applyBorder="1" applyAlignment="1" applyProtection="1">
      <alignment horizontal="right" vertical="center"/>
      <protection hidden="1"/>
    </xf>
    <xf numFmtId="167" fontId="47" fillId="5" borderId="25" xfId="1023" applyNumberFormat="1" applyFont="1" applyFill="1" applyBorder="1" applyAlignment="1" applyProtection="1">
      <alignment horizontal="right" vertical="center"/>
      <protection hidden="1"/>
    </xf>
    <xf numFmtId="167" fontId="47" fillId="5" borderId="17" xfId="1023" applyNumberFormat="1" applyFont="1" applyFill="1" applyBorder="1" applyAlignment="1" applyProtection="1">
      <alignment horizontal="right" vertical="center"/>
      <protection hidden="1"/>
    </xf>
    <xf numFmtId="167" fontId="47" fillId="5" borderId="3" xfId="1023" applyNumberFormat="1" applyFont="1" applyFill="1" applyBorder="1" applyAlignment="1" applyProtection="1">
      <alignment horizontal="right" vertical="center"/>
      <protection hidden="1"/>
    </xf>
    <xf numFmtId="1" fontId="47" fillId="0" borderId="0" xfId="1023" applyNumberFormat="1" applyFont="1" applyAlignment="1" applyProtection="1">
      <alignment horizontal="right" vertical="center"/>
      <protection locked="0"/>
    </xf>
    <xf numFmtId="0" fontId="100" fillId="0" borderId="0" xfId="1023" applyFont="1" applyProtection="1">
      <protection hidden="1"/>
    </xf>
    <xf numFmtId="0" fontId="100" fillId="0" borderId="0" xfId="1023" applyFont="1" applyAlignment="1" applyProtection="1">
      <alignment horizontal="center"/>
      <protection hidden="1"/>
    </xf>
    <xf numFmtId="2" fontId="100" fillId="0" borderId="0" xfId="1023" applyNumberFormat="1" applyFont="1" applyProtection="1">
      <protection hidden="1"/>
    </xf>
    <xf numFmtId="3" fontId="24" fillId="0" borderId="0" xfId="1023" applyNumberFormat="1" applyFont="1" applyAlignment="1" applyProtection="1">
      <alignment vertical="center"/>
      <protection locked="0"/>
    </xf>
    <xf numFmtId="0" fontId="100" fillId="0" borderId="0" xfId="1023" applyFont="1" applyBorder="1" applyProtection="1">
      <protection hidden="1"/>
    </xf>
    <xf numFmtId="0" fontId="100" fillId="0" borderId="0" xfId="1023" applyFont="1" applyBorder="1" applyAlignment="1" applyProtection="1">
      <alignment horizontal="center"/>
      <protection hidden="1"/>
    </xf>
    <xf numFmtId="2" fontId="100" fillId="0" borderId="0" xfId="1023" applyNumberFormat="1" applyFont="1" applyBorder="1" applyProtection="1">
      <protection hidden="1"/>
    </xf>
    <xf numFmtId="0" fontId="100" fillId="0" borderId="0" xfId="1023" applyFont="1" applyProtection="1">
      <protection locked="0"/>
    </xf>
    <xf numFmtId="0" fontId="100" fillId="0" borderId="1" xfId="1023" applyFont="1" applyBorder="1" applyAlignment="1" applyProtection="1">
      <alignment horizontal="center" vertical="center" wrapText="1"/>
      <protection hidden="1"/>
    </xf>
    <xf numFmtId="0" fontId="100" fillId="0" borderId="2" xfId="1023" applyFont="1" applyBorder="1" applyAlignment="1" applyProtection="1">
      <alignment horizontal="center" vertical="center" wrapText="1"/>
      <protection hidden="1"/>
    </xf>
    <xf numFmtId="2" fontId="100" fillId="0" borderId="5" xfId="1023" applyNumberFormat="1" applyFont="1" applyBorder="1" applyAlignment="1" applyProtection="1">
      <alignment horizontal="center" vertical="center" wrapText="1"/>
      <protection hidden="1"/>
    </xf>
    <xf numFmtId="2" fontId="100" fillId="0" borderId="8" xfId="1023" applyNumberFormat="1" applyFont="1" applyBorder="1" applyAlignment="1" applyProtection="1">
      <alignment horizontal="center" vertical="center" wrapText="1"/>
      <protection hidden="1"/>
    </xf>
    <xf numFmtId="0" fontId="100" fillId="0" borderId="13" xfId="1023" applyFont="1" applyBorder="1" applyAlignment="1" applyProtection="1">
      <alignment horizontal="center"/>
      <protection hidden="1"/>
    </xf>
    <xf numFmtId="0" fontId="100" fillId="0" borderId="70" xfId="1023" applyFont="1" applyBorder="1" applyAlignment="1" applyProtection="1">
      <alignment horizontal="center"/>
      <protection hidden="1"/>
    </xf>
    <xf numFmtId="0" fontId="100" fillId="0" borderId="71" xfId="1023" applyFont="1" applyBorder="1" applyAlignment="1" applyProtection="1">
      <alignment horizontal="center"/>
      <protection hidden="1"/>
    </xf>
    <xf numFmtId="0" fontId="100" fillId="0" borderId="11" xfId="1023" applyFont="1" applyBorder="1" applyAlignment="1" applyProtection="1">
      <alignment horizontal="center"/>
      <protection hidden="1"/>
    </xf>
    <xf numFmtId="0" fontId="100" fillId="0" borderId="3" xfId="1023" applyFont="1" applyBorder="1" applyAlignment="1" applyProtection="1">
      <alignment horizontal="center"/>
      <protection hidden="1"/>
    </xf>
    <xf numFmtId="1" fontId="100" fillId="0" borderId="4" xfId="1023" applyNumberFormat="1" applyFont="1" applyBorder="1" applyAlignment="1" applyProtection="1">
      <alignment horizontal="center"/>
      <protection hidden="1"/>
    </xf>
    <xf numFmtId="1" fontId="100" fillId="0" borderId="11" xfId="1023" applyNumberFormat="1" applyFont="1" applyBorder="1" applyAlignment="1" applyProtection="1">
      <alignment horizontal="center"/>
      <protection hidden="1"/>
    </xf>
    <xf numFmtId="1" fontId="100" fillId="0" borderId="3" xfId="1023" applyNumberFormat="1" applyFont="1" applyBorder="1" applyAlignment="1" applyProtection="1">
      <alignment horizontal="center"/>
      <protection hidden="1"/>
    </xf>
    <xf numFmtId="1" fontId="100" fillId="0" borderId="71" xfId="1023" applyNumberFormat="1" applyFont="1" applyBorder="1" applyAlignment="1" applyProtection="1">
      <alignment horizontal="center"/>
      <protection hidden="1"/>
    </xf>
    <xf numFmtId="0" fontId="100" fillId="0" borderId="18" xfId="1023" applyFont="1" applyBorder="1" applyAlignment="1" applyProtection="1">
      <alignment horizontal="center"/>
      <protection hidden="1"/>
    </xf>
    <xf numFmtId="0" fontId="100" fillId="0" borderId="59" xfId="1023" applyFont="1" applyBorder="1" applyAlignment="1" applyProtection="1">
      <alignment horizontal="center"/>
      <protection hidden="1"/>
    </xf>
    <xf numFmtId="0" fontId="100" fillId="0" borderId="60" xfId="1023" applyFont="1" applyBorder="1" applyAlignment="1" applyProtection="1">
      <alignment horizontal="center"/>
      <protection hidden="1"/>
    </xf>
    <xf numFmtId="0" fontId="100" fillId="0" borderId="16" xfId="1023" applyFont="1" applyBorder="1" applyAlignment="1" applyProtection="1">
      <alignment horizontal="center"/>
      <protection hidden="1"/>
    </xf>
    <xf numFmtId="0" fontId="100" fillId="0" borderId="17" xfId="1023" applyFont="1" applyBorder="1" applyAlignment="1" applyProtection="1">
      <alignment horizontal="center"/>
      <protection hidden="1"/>
    </xf>
    <xf numFmtId="1" fontId="100" fillId="0" borderId="32" xfId="1023" applyNumberFormat="1" applyFont="1" applyBorder="1" applyAlignment="1" applyProtection="1">
      <alignment horizontal="center"/>
      <protection hidden="1"/>
    </xf>
    <xf numFmtId="1" fontId="100" fillId="0" borderId="16" xfId="1023" applyNumberFormat="1" applyFont="1" applyBorder="1" applyAlignment="1" applyProtection="1">
      <alignment horizontal="center"/>
      <protection hidden="1"/>
    </xf>
    <xf numFmtId="1" fontId="100" fillId="0" borderId="17" xfId="1023" applyNumberFormat="1" applyFont="1" applyBorder="1" applyAlignment="1" applyProtection="1">
      <alignment horizontal="center"/>
      <protection hidden="1"/>
    </xf>
    <xf numFmtId="1" fontId="100" fillId="0" borderId="60" xfId="1023" applyNumberFormat="1" applyFont="1" applyBorder="1" applyAlignment="1" applyProtection="1">
      <alignment horizontal="center"/>
      <protection hidden="1"/>
    </xf>
    <xf numFmtId="3" fontId="151" fillId="60" borderId="9" xfId="1023" applyNumberFormat="1" applyFont="1" applyFill="1" applyBorder="1" applyAlignment="1" applyProtection="1">
      <alignment horizontal="center"/>
      <protection hidden="1"/>
    </xf>
    <xf numFmtId="0" fontId="151" fillId="60" borderId="42" xfId="1023" applyFont="1" applyFill="1" applyBorder="1" applyAlignment="1" applyProtection="1">
      <alignment horizontal="center"/>
      <protection hidden="1"/>
    </xf>
    <xf numFmtId="0" fontId="151" fillId="60" borderId="8" xfId="1023" applyFont="1" applyFill="1" applyBorder="1" applyAlignment="1" applyProtection="1">
      <alignment horizontal="center"/>
      <protection hidden="1"/>
    </xf>
    <xf numFmtId="167" fontId="151" fillId="60" borderId="1" xfId="1023" applyNumberFormat="1" applyFont="1" applyFill="1" applyBorder="1" applyAlignment="1" applyProtection="1">
      <alignment horizontal="center"/>
      <protection hidden="1"/>
    </xf>
    <xf numFmtId="167" fontId="151" fillId="60" borderId="2" xfId="1023" applyNumberFormat="1" applyFont="1" applyFill="1" applyBorder="1" applyAlignment="1" applyProtection="1">
      <alignment horizontal="center"/>
      <protection hidden="1"/>
    </xf>
    <xf numFmtId="181" fontId="151" fillId="60" borderId="5" xfId="1023" applyNumberFormat="1" applyFont="1" applyFill="1" applyBorder="1" applyAlignment="1" applyProtection="1">
      <alignment horizontal="center"/>
      <protection hidden="1"/>
    </xf>
    <xf numFmtId="167" fontId="151" fillId="60" borderId="5" xfId="1023" applyNumberFormat="1" applyFont="1" applyFill="1" applyBorder="1" applyAlignment="1" applyProtection="1">
      <alignment horizontal="center"/>
      <protection hidden="1"/>
    </xf>
    <xf numFmtId="4" fontId="151" fillId="60" borderId="1" xfId="1023" applyNumberFormat="1" applyFont="1" applyFill="1" applyBorder="1" applyAlignment="1" applyProtection="1">
      <alignment horizontal="center"/>
      <protection hidden="1"/>
    </xf>
    <xf numFmtId="181" fontId="151" fillId="60" borderId="2" xfId="1023" applyNumberFormat="1" applyFont="1" applyFill="1" applyBorder="1" applyAlignment="1" applyProtection="1">
      <alignment horizontal="center"/>
      <protection hidden="1"/>
    </xf>
    <xf numFmtId="181" fontId="151" fillId="60" borderId="8" xfId="1023" applyNumberFormat="1" applyFont="1" applyFill="1" applyBorder="1" applyAlignment="1" applyProtection="1">
      <alignment horizontal="center"/>
      <protection hidden="1"/>
    </xf>
    <xf numFmtId="3" fontId="151" fillId="2" borderId="9" xfId="3" applyNumberFormat="1" applyFont="1" applyFill="1" applyBorder="1" applyAlignment="1" applyProtection="1">
      <alignment horizontal="center"/>
      <protection hidden="1"/>
    </xf>
    <xf numFmtId="3" fontId="151" fillId="2" borderId="42" xfId="3" applyNumberFormat="1" applyFont="1" applyFill="1" applyBorder="1" applyProtection="1">
      <protection hidden="1"/>
    </xf>
    <xf numFmtId="3" fontId="151" fillId="2" borderId="8" xfId="3" applyNumberFormat="1" applyFont="1" applyFill="1" applyBorder="1" applyProtection="1">
      <protection hidden="1"/>
    </xf>
    <xf numFmtId="167" fontId="151" fillId="2" borderId="1" xfId="3" applyNumberFormat="1" applyFont="1" applyFill="1" applyBorder="1" applyAlignment="1" applyProtection="1">
      <alignment horizontal="center"/>
      <protection hidden="1"/>
    </xf>
    <xf numFmtId="167" fontId="151" fillId="2" borderId="2" xfId="3" applyNumberFormat="1" applyFont="1" applyFill="1" applyBorder="1" applyAlignment="1" applyProtection="1">
      <alignment horizontal="center"/>
      <protection hidden="1"/>
    </xf>
    <xf numFmtId="181" fontId="151" fillId="2" borderId="5" xfId="3" applyNumberFormat="1" applyFont="1" applyFill="1" applyBorder="1" applyAlignment="1" applyProtection="1">
      <alignment horizontal="center"/>
      <protection hidden="1"/>
    </xf>
    <xf numFmtId="3" fontId="151" fillId="2" borderId="5" xfId="3" applyNumberFormat="1" applyFont="1" applyFill="1" applyBorder="1" applyAlignment="1" applyProtection="1">
      <alignment horizontal="center"/>
      <protection hidden="1"/>
    </xf>
    <xf numFmtId="181" fontId="151" fillId="2" borderId="2" xfId="3" applyNumberFormat="1" applyFont="1" applyFill="1" applyBorder="1" applyAlignment="1" applyProtection="1">
      <alignment horizontal="center"/>
      <protection hidden="1"/>
    </xf>
    <xf numFmtId="181" fontId="151" fillId="2" borderId="8" xfId="3" applyNumberFormat="1" applyFont="1" applyFill="1" applyBorder="1" applyAlignment="1" applyProtection="1">
      <alignment horizontal="center"/>
      <protection hidden="1"/>
    </xf>
    <xf numFmtId="167" fontId="151" fillId="2" borderId="5" xfId="3" applyNumberFormat="1" applyFont="1" applyFill="1" applyBorder="1" applyAlignment="1" applyProtection="1">
      <alignment horizontal="center"/>
      <protection hidden="1"/>
    </xf>
    <xf numFmtId="3" fontId="100" fillId="0" borderId="9" xfId="3" applyNumberFormat="1" applyFont="1" applyBorder="1" applyAlignment="1" applyProtection="1">
      <alignment horizontal="center"/>
      <protection hidden="1"/>
    </xf>
    <xf numFmtId="4" fontId="100" fillId="0" borderId="1" xfId="1061" applyNumberFormat="1" applyFont="1" applyBorder="1" applyAlignment="1" applyProtection="1">
      <alignment horizontal="center"/>
      <protection hidden="1"/>
    </xf>
    <xf numFmtId="4" fontId="100" fillId="0" borderId="2" xfId="3" applyNumberFormat="1" applyFont="1" applyBorder="1" applyAlignment="1" applyProtection="1">
      <alignment horizontal="center"/>
      <protection hidden="1"/>
    </xf>
    <xf numFmtId="4" fontId="100" fillId="0" borderId="5" xfId="3" applyNumberFormat="1" applyFont="1" applyBorder="1" applyAlignment="1" applyProtection="1">
      <alignment horizontal="center"/>
      <protection hidden="1"/>
    </xf>
    <xf numFmtId="167" fontId="100" fillId="0" borderId="1" xfId="3" applyNumberFormat="1" applyFont="1" applyBorder="1" applyAlignment="1" applyProtection="1">
      <alignment horizontal="center"/>
      <protection hidden="1"/>
    </xf>
    <xf numFmtId="4" fontId="100" fillId="0" borderId="1" xfId="3" applyNumberFormat="1" applyFont="1" applyBorder="1" applyAlignment="1" applyProtection="1">
      <alignment horizontal="center"/>
      <protection hidden="1"/>
    </xf>
    <xf numFmtId="4" fontId="100" fillId="0" borderId="8" xfId="3" applyNumberFormat="1" applyFont="1" applyBorder="1" applyAlignment="1" applyProtection="1">
      <alignment horizontal="center"/>
      <protection hidden="1"/>
    </xf>
    <xf numFmtId="4" fontId="100" fillId="0" borderId="1" xfId="3" applyNumberFormat="1" applyFont="1" applyBorder="1" applyAlignment="1" applyProtection="1">
      <alignment horizontal="center"/>
      <protection locked="0"/>
    </xf>
    <xf numFmtId="3" fontId="47" fillId="0" borderId="9" xfId="1023" applyNumberFormat="1" applyFont="1" applyBorder="1" applyAlignment="1" applyProtection="1">
      <alignment horizontal="center" vertical="center"/>
      <protection hidden="1"/>
    </xf>
    <xf numFmtId="4" fontId="100" fillId="0" borderId="1" xfId="1023" applyNumberFormat="1" applyFont="1" applyBorder="1" applyAlignment="1" applyProtection="1">
      <alignment horizontal="center"/>
      <protection locked="0"/>
    </xf>
    <xf numFmtId="0" fontId="100" fillId="0" borderId="0" xfId="1023" applyFont="1" applyAlignment="1" applyProtection="1">
      <alignment horizontal="center"/>
      <protection locked="0"/>
    </xf>
    <xf numFmtId="2" fontId="100" fillId="0" borderId="0" xfId="1023" applyNumberFormat="1" applyFont="1" applyProtection="1">
      <protection locked="0"/>
    </xf>
    <xf numFmtId="168" fontId="100" fillId="0" borderId="0" xfId="1023" applyNumberFormat="1" applyFont="1" applyProtection="1">
      <protection locked="0"/>
    </xf>
    <xf numFmtId="167" fontId="151" fillId="60" borderId="8" xfId="1023" applyNumberFormat="1" applyFont="1" applyFill="1" applyBorder="1" applyAlignment="1" applyProtection="1">
      <alignment horizontal="center"/>
      <protection hidden="1"/>
    </xf>
    <xf numFmtId="167" fontId="151" fillId="2" borderId="8" xfId="3" applyNumberFormat="1" applyFont="1" applyFill="1" applyBorder="1" applyAlignment="1" applyProtection="1">
      <alignment horizontal="center"/>
      <protection hidden="1"/>
    </xf>
    <xf numFmtId="4" fontId="100" fillId="0" borderId="0" xfId="1023" applyNumberFormat="1" applyFont="1" applyProtection="1">
      <protection locked="0"/>
    </xf>
    <xf numFmtId="167" fontId="100" fillId="0" borderId="1" xfId="3" applyNumberFormat="1" applyFont="1" applyBorder="1" applyAlignment="1" applyProtection="1">
      <alignment horizontal="center"/>
      <protection locked="0"/>
    </xf>
    <xf numFmtId="3" fontId="47" fillId="0" borderId="0" xfId="1023" applyNumberFormat="1" applyFont="1" applyBorder="1" applyAlignment="1" applyProtection="1">
      <alignment horizontal="center" vertical="center"/>
      <protection hidden="1"/>
    </xf>
    <xf numFmtId="0" fontId="100" fillId="0" borderId="0" xfId="1023" applyFont="1" applyBorder="1" applyProtection="1">
      <protection locked="0"/>
    </xf>
    <xf numFmtId="4" fontId="100" fillId="0" borderId="0" xfId="3" applyNumberFormat="1" applyFont="1" applyBorder="1" applyProtection="1">
      <protection hidden="1"/>
    </xf>
    <xf numFmtId="4" fontId="100" fillId="0" borderId="0" xfId="1023" applyNumberFormat="1" applyFont="1" applyBorder="1" applyProtection="1">
      <protection locked="0"/>
    </xf>
    <xf numFmtId="0" fontId="100" fillId="0" borderId="49" xfId="1023" applyFont="1" applyBorder="1" applyAlignment="1" applyProtection="1">
      <alignment horizontal="center"/>
      <protection hidden="1"/>
    </xf>
    <xf numFmtId="0" fontId="100" fillId="0" borderId="36" xfId="1023" applyFont="1" applyBorder="1" applyAlignment="1" applyProtection="1">
      <alignment horizontal="center"/>
      <protection hidden="1"/>
    </xf>
    <xf numFmtId="0" fontId="100" fillId="0" borderId="35" xfId="1023" applyFont="1" applyBorder="1" applyAlignment="1" applyProtection="1">
      <alignment horizontal="center"/>
      <protection hidden="1"/>
    </xf>
    <xf numFmtId="0" fontId="100" fillId="0" borderId="30" xfId="1023" applyFont="1" applyBorder="1" applyAlignment="1" applyProtection="1">
      <alignment horizontal="center"/>
      <protection hidden="1"/>
    </xf>
    <xf numFmtId="0" fontId="100" fillId="0" borderId="33" xfId="1023" applyFont="1" applyBorder="1" applyAlignment="1" applyProtection="1">
      <alignment horizontal="center"/>
      <protection hidden="1"/>
    </xf>
    <xf numFmtId="1" fontId="100" fillId="0" borderId="35" xfId="1023" applyNumberFormat="1" applyFont="1" applyBorder="1" applyAlignment="1" applyProtection="1">
      <alignment horizontal="center"/>
      <protection hidden="1"/>
    </xf>
    <xf numFmtId="167" fontId="100" fillId="0" borderId="2" xfId="3" applyNumberFormat="1" applyFont="1" applyBorder="1" applyAlignment="1" applyProtection="1">
      <alignment horizontal="center"/>
      <protection hidden="1"/>
    </xf>
    <xf numFmtId="3" fontId="267" fillId="0" borderId="2" xfId="0" applyNumberFormat="1" applyFont="1" applyBorder="1" applyAlignment="1">
      <alignment horizontal="center" vertical="top" wrapText="1"/>
    </xf>
    <xf numFmtId="3" fontId="267" fillId="0" borderId="25" xfId="0" applyNumberFormat="1" applyFont="1" applyBorder="1" applyAlignment="1">
      <alignment horizontal="center" vertical="top" wrapText="1"/>
    </xf>
    <xf numFmtId="3" fontId="267" fillId="0" borderId="1" xfId="0" applyNumberFormat="1" applyFont="1" applyBorder="1" applyAlignment="1">
      <alignment horizontal="center" vertical="top" wrapText="1"/>
    </xf>
    <xf numFmtId="3" fontId="267" fillId="0" borderId="24" xfId="0" applyNumberFormat="1" applyFont="1" applyBorder="1" applyAlignment="1">
      <alignment horizontal="center" vertical="top" wrapText="1"/>
    </xf>
    <xf numFmtId="3" fontId="267" fillId="0" borderId="16" xfId="0" applyNumberFormat="1" applyFont="1" applyBorder="1" applyAlignment="1">
      <alignment horizontal="center" vertical="top" wrapText="1"/>
    </xf>
    <xf numFmtId="3" fontId="268" fillId="0" borderId="16" xfId="0" applyNumberFormat="1" applyFont="1" applyBorder="1" applyAlignment="1">
      <alignment horizontal="center" vertical="top" wrapText="1"/>
    </xf>
    <xf numFmtId="3" fontId="268" fillId="0" borderId="17" xfId="0" applyNumberFormat="1" applyFont="1" applyBorder="1" applyAlignment="1">
      <alignment horizontal="center" vertical="center" wrapText="1"/>
    </xf>
    <xf numFmtId="3" fontId="268" fillId="0" borderId="30" xfId="0" applyNumberFormat="1" applyFont="1" applyBorder="1" applyAlignment="1">
      <alignment horizontal="center" vertical="top" wrapText="1"/>
    </xf>
    <xf numFmtId="3" fontId="268" fillId="0" borderId="33" xfId="0" applyNumberFormat="1" applyFont="1" applyBorder="1" applyAlignment="1">
      <alignment horizontal="center" vertical="center" wrapText="1"/>
    </xf>
    <xf numFmtId="3" fontId="268" fillId="0" borderId="1" xfId="0" applyNumberFormat="1" applyFont="1" applyBorder="1" applyAlignment="1">
      <alignment horizontal="center" vertical="top" wrapText="1"/>
    </xf>
    <xf numFmtId="3" fontId="268" fillId="0" borderId="2" xfId="0" applyNumberFormat="1" applyFont="1" applyBorder="1" applyAlignment="1">
      <alignment horizontal="center" vertical="center" wrapText="1"/>
    </xf>
    <xf numFmtId="3" fontId="268" fillId="0" borderId="24" xfId="0" applyNumberFormat="1" applyFont="1" applyBorder="1" applyAlignment="1">
      <alignment horizontal="center" vertical="center" wrapText="1"/>
    </xf>
    <xf numFmtId="3" fontId="268" fillId="0" borderId="25" xfId="0" applyNumberFormat="1" applyFont="1" applyBorder="1" applyAlignment="1">
      <alignment horizontal="center" vertical="center" wrapText="1"/>
    </xf>
    <xf numFmtId="0" fontId="2" fillId="5" borderId="14" xfId="0" applyFont="1" applyFill="1" applyBorder="1" applyAlignment="1">
      <alignment horizontal="center" vertical="top" wrapText="1"/>
    </xf>
    <xf numFmtId="49" fontId="47" fillId="0" borderId="2" xfId="1023" applyNumberFormat="1" applyFont="1" applyBorder="1" applyAlignment="1" applyProtection="1">
      <alignment horizontal="center" vertical="center" wrapText="1"/>
      <protection locked="0"/>
    </xf>
    <xf numFmtId="168" fontId="47" fillId="0" borderId="2" xfId="1023" applyNumberFormat="1" applyFont="1" applyBorder="1" applyAlignment="1" applyProtection="1">
      <alignment horizontal="center" vertical="center" wrapText="1"/>
      <protection locked="0"/>
    </xf>
    <xf numFmtId="49" fontId="47" fillId="0" borderId="1" xfId="1023" applyNumberFormat="1" applyFont="1" applyBorder="1" applyAlignment="1" applyProtection="1">
      <alignment horizontal="center" vertical="center" wrapText="1"/>
      <protection locked="0"/>
    </xf>
    <xf numFmtId="49" fontId="47" fillId="0" borderId="2" xfId="1024" applyNumberFormat="1" applyFont="1" applyBorder="1" applyAlignment="1" applyProtection="1">
      <alignment horizontal="center" vertical="center" wrapText="1"/>
      <protection locked="0"/>
    </xf>
    <xf numFmtId="0" fontId="100" fillId="0" borderId="0" xfId="1023" applyFont="1" applyBorder="1" applyAlignment="1" applyProtection="1">
      <alignment horizontal="center"/>
      <protection hidden="1"/>
    </xf>
    <xf numFmtId="3" fontId="267" fillId="0" borderId="42" xfId="0" applyNumberFormat="1" applyFont="1" applyBorder="1" applyAlignment="1">
      <alignment horizontal="center" vertical="top" wrapText="1"/>
    </xf>
    <xf numFmtId="3" fontId="267" fillId="0" borderId="50" xfId="0" applyNumberFormat="1" applyFont="1" applyBorder="1" applyAlignment="1">
      <alignment horizontal="center" vertical="top" wrapText="1"/>
    </xf>
    <xf numFmtId="0" fontId="24" fillId="0" borderId="4" xfId="0" applyFont="1" applyBorder="1" applyAlignment="1">
      <alignment horizontal="center" vertical="center" textRotation="90" wrapText="1"/>
    </xf>
    <xf numFmtId="0" fontId="2" fillId="5" borderId="140" xfId="0" applyFont="1" applyFill="1" applyBorder="1" applyAlignment="1">
      <alignment horizontal="center" vertical="top" wrapText="1"/>
    </xf>
    <xf numFmtId="0" fontId="2" fillId="5" borderId="141" xfId="0" applyFont="1" applyFill="1" applyBorder="1" applyAlignment="1">
      <alignment horizontal="center" vertical="top" wrapText="1"/>
    </xf>
    <xf numFmtId="0" fontId="2" fillId="0" borderId="142" xfId="0" applyFont="1" applyBorder="1" applyAlignment="1">
      <alignment horizontal="center" vertical="top" wrapText="1"/>
    </xf>
    <xf numFmtId="0" fontId="2" fillId="0" borderId="143" xfId="0" applyFont="1" applyBorder="1" applyAlignment="1">
      <alignment horizontal="center" vertical="top" wrapText="1"/>
    </xf>
    <xf numFmtId="3" fontId="2" fillId="0" borderId="142" xfId="0" applyNumberFormat="1" applyFont="1" applyBorder="1" applyAlignment="1">
      <alignment vertical="top" wrapText="1"/>
    </xf>
    <xf numFmtId="3" fontId="33" fillId="0" borderId="143" xfId="0" applyNumberFormat="1" applyFont="1" applyBorder="1" applyAlignment="1">
      <alignment vertical="top" wrapText="1"/>
    </xf>
    <xf numFmtId="3" fontId="2" fillId="0" borderId="142" xfId="0" applyNumberFormat="1" applyFont="1" applyFill="1" applyBorder="1" applyAlignment="1">
      <alignment vertical="top" wrapText="1"/>
    </xf>
    <xf numFmtId="3" fontId="33" fillId="0" borderId="143" xfId="0" applyNumberFormat="1" applyFont="1" applyBorder="1" applyAlignment="1">
      <alignment horizontal="right" vertical="top" wrapText="1"/>
    </xf>
    <xf numFmtId="3" fontId="3" fillId="0" borderId="143" xfId="0" applyNumberFormat="1" applyFont="1" applyBorder="1" applyAlignment="1">
      <alignment horizontal="right" vertical="top" wrapText="1"/>
    </xf>
    <xf numFmtId="3" fontId="4" fillId="0" borderId="144" xfId="0" applyNumberFormat="1" applyFont="1" applyBorder="1" applyAlignment="1">
      <alignment horizontal="center" vertical="top" wrapText="1"/>
    </xf>
    <xf numFmtId="3" fontId="4" fillId="0" borderId="121" xfId="0" applyNumberFormat="1" applyFont="1" applyBorder="1" applyAlignment="1">
      <alignment vertical="top" wrapText="1"/>
    </xf>
    <xf numFmtId="3" fontId="2" fillId="0" borderId="142" xfId="0" applyNumberFormat="1" applyFont="1" applyBorder="1" applyAlignment="1">
      <alignment horizontal="center" vertical="top" wrapText="1"/>
    </xf>
    <xf numFmtId="3" fontId="2" fillId="5" borderId="142" xfId="0" applyNumberFormat="1" applyFont="1" applyFill="1" applyBorder="1" applyAlignment="1">
      <alignment vertical="top" wrapText="1"/>
    </xf>
    <xf numFmtId="3" fontId="5" fillId="5" borderId="142" xfId="0" applyNumberFormat="1" applyFont="1" applyFill="1" applyBorder="1" applyAlignment="1">
      <alignment vertical="top" wrapText="1"/>
    </xf>
    <xf numFmtId="3" fontId="4" fillId="0" borderId="145" xfId="0" applyNumberFormat="1" applyFont="1" applyBorder="1" applyAlignment="1">
      <alignment vertical="top" wrapText="1"/>
    </xf>
    <xf numFmtId="0" fontId="2" fillId="0" borderId="148" xfId="0" applyFont="1" applyFill="1" applyBorder="1" applyAlignment="1">
      <alignment horizontal="center" vertical="top" wrapText="1"/>
    </xf>
    <xf numFmtId="0" fontId="5" fillId="0" borderId="142" xfId="0" applyFont="1" applyBorder="1" applyAlignment="1">
      <alignment vertical="top" wrapText="1"/>
    </xf>
    <xf numFmtId="0" fontId="33" fillId="0" borderId="143" xfId="0" applyFont="1" applyBorder="1" applyAlignment="1">
      <alignment vertical="top" wrapText="1"/>
    </xf>
    <xf numFmtId="0" fontId="5" fillId="0" borderId="142" xfId="0" applyFont="1" applyBorder="1" applyAlignment="1">
      <alignment horizontal="left" vertical="top" wrapText="1"/>
    </xf>
    <xf numFmtId="0" fontId="4" fillId="0" borderId="144" xfId="0" applyFont="1" applyBorder="1" applyAlignment="1">
      <alignment horizontal="center" vertical="top" wrapText="1"/>
    </xf>
    <xf numFmtId="0" fontId="4" fillId="0" borderId="143" xfId="0" applyFont="1" applyBorder="1" applyAlignment="1">
      <alignment vertical="top" wrapText="1"/>
    </xf>
    <xf numFmtId="0" fontId="3" fillId="2" borderId="149" xfId="0" applyFont="1" applyFill="1" applyBorder="1" applyAlignment="1">
      <alignment vertical="top" wrapText="1"/>
    </xf>
    <xf numFmtId="0" fontId="3" fillId="2" borderId="150" xfId="0" applyFont="1" applyFill="1" applyBorder="1" applyAlignment="1">
      <alignment horizontal="center" vertical="top" wrapText="1"/>
    </xf>
    <xf numFmtId="0" fontId="3" fillId="2" borderId="151" xfId="0" applyFont="1" applyFill="1" applyBorder="1" applyAlignment="1">
      <alignment horizontal="center" vertical="top" wrapText="1"/>
    </xf>
    <xf numFmtId="3" fontId="3" fillId="2" borderId="152" xfId="0" applyNumberFormat="1" applyFont="1" applyFill="1" applyBorder="1" applyAlignment="1">
      <alignment vertical="top" wrapText="1"/>
    </xf>
    <xf numFmtId="3" fontId="3" fillId="2" borderId="153" xfId="0" applyNumberFormat="1" applyFont="1" applyFill="1" applyBorder="1" applyAlignment="1">
      <alignment vertical="top" wrapText="1"/>
    </xf>
    <xf numFmtId="3" fontId="3" fillId="2" borderId="154" xfId="0" applyNumberFormat="1" applyFont="1" applyFill="1" applyBorder="1" applyAlignment="1">
      <alignment vertical="top" wrapText="1"/>
    </xf>
    <xf numFmtId="0" fontId="3" fillId="7" borderId="155" xfId="0" applyFont="1" applyFill="1" applyBorder="1" applyAlignment="1"/>
    <xf numFmtId="0" fontId="3" fillId="7" borderId="156" xfId="0" applyFont="1" applyFill="1" applyBorder="1" applyAlignment="1"/>
    <xf numFmtId="0" fontId="3" fillId="7" borderId="157" xfId="0" applyFont="1" applyFill="1" applyBorder="1" applyAlignment="1"/>
    <xf numFmtId="2" fontId="2" fillId="0" borderId="147" xfId="0" applyNumberFormat="1" applyFont="1" applyFill="1" applyBorder="1" applyAlignment="1">
      <alignment vertical="top" wrapText="1"/>
    </xf>
    <xf numFmtId="1" fontId="2" fillId="5" borderId="143" xfId="0" applyNumberFormat="1" applyFont="1" applyFill="1" applyBorder="1" applyAlignment="1">
      <alignment horizontal="center" vertical="top" wrapText="1"/>
    </xf>
    <xf numFmtId="3" fontId="30" fillId="5" borderId="143" xfId="0" applyNumberFormat="1" applyFont="1" applyFill="1" applyBorder="1" applyAlignment="1">
      <alignment horizontal="right" vertical="top" wrapText="1"/>
    </xf>
    <xf numFmtId="3" fontId="2" fillId="5" borderId="143" xfId="0" applyNumberFormat="1" applyFont="1" applyFill="1" applyBorder="1" applyAlignment="1">
      <alignment horizontal="right" vertical="top" wrapText="1"/>
    </xf>
    <xf numFmtId="3" fontId="2" fillId="5" borderId="143" xfId="0" applyNumberFormat="1" applyFont="1" applyFill="1" applyBorder="1" applyAlignment="1">
      <alignment horizontal="center" vertical="top" wrapText="1"/>
    </xf>
    <xf numFmtId="3" fontId="10" fillId="5" borderId="143" xfId="0" applyNumberFormat="1" applyFont="1" applyFill="1" applyBorder="1" applyAlignment="1">
      <alignment horizontal="right" vertical="top" wrapText="1"/>
    </xf>
    <xf numFmtId="3" fontId="10" fillId="5" borderId="158" xfId="0" applyNumberFormat="1" applyFont="1" applyFill="1" applyBorder="1" applyAlignment="1">
      <alignment horizontal="right" vertical="top" wrapText="1"/>
    </xf>
    <xf numFmtId="3" fontId="10" fillId="5" borderId="145" xfId="0" applyNumberFormat="1" applyFont="1" applyFill="1" applyBorder="1" applyAlignment="1">
      <alignment horizontal="right" vertical="top" wrapText="1"/>
    </xf>
    <xf numFmtId="3" fontId="3" fillId="6" borderId="124" xfId="0" applyNumberFormat="1" applyFont="1" applyFill="1" applyBorder="1" applyAlignment="1">
      <alignment horizontal="right" vertical="top" wrapText="1"/>
    </xf>
    <xf numFmtId="3" fontId="3" fillId="6" borderId="125" xfId="0" applyNumberFormat="1" applyFont="1" applyFill="1" applyBorder="1" applyAlignment="1">
      <alignment horizontal="right" vertical="top" wrapText="1"/>
    </xf>
    <xf numFmtId="4" fontId="2" fillId="7" borderId="92" xfId="0" applyNumberFormat="1" applyFont="1" applyFill="1" applyBorder="1" applyAlignment="1">
      <alignment horizontal="center" vertical="top" wrapText="1"/>
    </xf>
    <xf numFmtId="0" fontId="13" fillId="0" borderId="109" xfId="0" applyFont="1" applyBorder="1" applyAlignment="1">
      <alignment vertical="top" wrapText="1"/>
    </xf>
    <xf numFmtId="4" fontId="34" fillId="0" borderId="92" xfId="0" applyNumberFormat="1" applyFont="1" applyBorder="1" applyAlignment="1">
      <alignment horizontal="center" vertical="top" wrapText="1"/>
    </xf>
    <xf numFmtId="4" fontId="35" fillId="0" borderId="92" xfId="0" applyNumberFormat="1" applyFont="1" applyBorder="1" applyAlignment="1">
      <alignment horizontal="center" vertical="top" wrapText="1"/>
    </xf>
    <xf numFmtId="4" fontId="34" fillId="0" borderId="92" xfId="2" applyNumberFormat="1" applyFont="1" applyBorder="1" applyAlignment="1">
      <alignment horizontal="center" vertical="top" wrapText="1"/>
    </xf>
    <xf numFmtId="3" fontId="23" fillId="7" borderId="109" xfId="0" applyNumberFormat="1" applyFont="1" applyFill="1" applyBorder="1" applyAlignment="1">
      <alignment vertical="top" wrapText="1"/>
    </xf>
    <xf numFmtId="0" fontId="24" fillId="0" borderId="121" xfId="0" applyFont="1" applyBorder="1" applyAlignment="1">
      <alignment horizontal="center" vertical="center" textRotation="90" wrapText="1"/>
    </xf>
    <xf numFmtId="0" fontId="43" fillId="0" borderId="161" xfId="0" applyFont="1" applyBorder="1" applyAlignment="1">
      <alignment horizontal="left" vertical="center" wrapText="1"/>
    </xf>
    <xf numFmtId="0" fontId="43" fillId="0" borderId="168" xfId="0" applyFont="1" applyBorder="1" applyAlignment="1">
      <alignment horizontal="left" vertical="center" wrapText="1"/>
    </xf>
    <xf numFmtId="0" fontId="42" fillId="2" borderId="163" xfId="0" applyFont="1" applyFill="1" applyBorder="1" applyAlignment="1">
      <alignment vertical="top" wrapText="1"/>
    </xf>
    <xf numFmtId="3" fontId="268" fillId="2" borderId="150" xfId="0" applyNumberFormat="1" applyFont="1" applyFill="1" applyBorder="1" applyAlignment="1">
      <alignment horizontal="center" vertical="top" wrapText="1"/>
    </xf>
    <xf numFmtId="3" fontId="268" fillId="2" borderId="151" xfId="0" applyNumberFormat="1" applyFont="1" applyFill="1" applyBorder="1" applyAlignment="1">
      <alignment horizontal="center" vertical="top" wrapText="1"/>
    </xf>
    <xf numFmtId="3" fontId="42" fillId="2" borderId="151" xfId="0" applyNumberFormat="1" applyFont="1" applyFill="1" applyBorder="1" applyAlignment="1">
      <alignment horizontal="center" vertical="top" wrapText="1"/>
    </xf>
    <xf numFmtId="3" fontId="267" fillId="2" borderId="150" xfId="0" applyNumberFormat="1" applyFont="1" applyFill="1" applyBorder="1" applyAlignment="1">
      <alignment horizontal="center" vertical="top" wrapText="1"/>
    </xf>
    <xf numFmtId="3" fontId="267" fillId="2" borderId="151" xfId="0" applyNumberFormat="1" applyFont="1" applyFill="1" applyBorder="1" applyAlignment="1">
      <alignment horizontal="center" vertical="top" wrapText="1"/>
    </xf>
    <xf numFmtId="3" fontId="267" fillId="2" borderId="170" xfId="0" applyNumberFormat="1" applyFont="1" applyFill="1" applyBorder="1" applyAlignment="1">
      <alignment horizontal="center" vertical="top" wrapText="1"/>
    </xf>
    <xf numFmtId="3" fontId="42" fillId="2" borderId="170" xfId="0" applyNumberFormat="1" applyFont="1" applyFill="1" applyBorder="1" applyAlignment="1">
      <alignment horizontal="center" vertical="top" wrapText="1"/>
    </xf>
    <xf numFmtId="3" fontId="30" fillId="0" borderId="115" xfId="0" applyNumberFormat="1" applyFont="1" applyBorder="1" applyAlignment="1">
      <alignment horizontal="center" vertical="top" wrapText="1"/>
    </xf>
    <xf numFmtId="0" fontId="3" fillId="7" borderId="133" xfId="0" applyFont="1" applyFill="1" applyBorder="1" applyAlignment="1">
      <alignment horizontal="center"/>
    </xf>
    <xf numFmtId="0" fontId="2" fillId="0" borderId="109" xfId="0" applyFont="1" applyFill="1" applyBorder="1" applyAlignment="1">
      <alignment horizontal="center" vertical="top" wrapText="1" shrinkToFit="1"/>
    </xf>
    <xf numFmtId="16" fontId="3" fillId="7" borderId="112" xfId="0" applyNumberFormat="1" applyFont="1" applyFill="1" applyBorder="1" applyAlignment="1">
      <alignment horizontal="center" vertical="top" wrapText="1" shrinkToFit="1"/>
    </xf>
    <xf numFmtId="0" fontId="2" fillId="0" borderId="109" xfId="0" applyFont="1" applyBorder="1" applyAlignment="1">
      <alignment horizontal="center" vertical="top" wrapText="1" shrinkToFit="1"/>
    </xf>
    <xf numFmtId="0" fontId="3" fillId="7" borderId="112" xfId="0" applyFont="1" applyFill="1" applyBorder="1" applyAlignment="1">
      <alignment horizontal="center"/>
    </xf>
    <xf numFmtId="0" fontId="2" fillId="0" borderId="109" xfId="0" applyFont="1" applyBorder="1" applyAlignment="1">
      <alignment horizontal="center"/>
    </xf>
    <xf numFmtId="0" fontId="3" fillId="2" borderId="122" xfId="0" applyFont="1" applyFill="1" applyBorder="1" applyAlignment="1">
      <alignment horizontal="center"/>
    </xf>
    <xf numFmtId="0" fontId="3" fillId="2" borderId="151" xfId="0" applyFont="1" applyFill="1" applyBorder="1"/>
    <xf numFmtId="0" fontId="27" fillId="0" borderId="176" xfId="0" applyFont="1" applyBorder="1" applyAlignment="1">
      <alignment horizontal="center" vertical="top" wrapText="1"/>
    </xf>
    <xf numFmtId="0" fontId="27" fillId="0" borderId="177" xfId="0" applyFont="1" applyBorder="1" applyAlignment="1">
      <alignment horizontal="center" vertical="top" wrapText="1"/>
    </xf>
    <xf numFmtId="0" fontId="2" fillId="0" borderId="178" xfId="0" applyFont="1" applyBorder="1" applyAlignment="1">
      <alignment horizontal="justify" vertical="top" wrapText="1"/>
    </xf>
    <xf numFmtId="0" fontId="27" fillId="0" borderId="179" xfId="0" applyFont="1" applyBorder="1" applyAlignment="1">
      <alignment horizontal="center" vertical="top" wrapText="1"/>
    </xf>
    <xf numFmtId="0" fontId="2" fillId="0" borderId="180" xfId="0" applyFont="1" applyBorder="1" applyAlignment="1">
      <alignment horizontal="justify" vertical="top" wrapText="1"/>
    </xf>
    <xf numFmtId="0" fontId="27" fillId="0" borderId="181" xfId="0" applyFont="1" applyBorder="1" applyAlignment="1">
      <alignment horizontal="center" vertical="top" wrapText="1"/>
    </xf>
    <xf numFmtId="168" fontId="265" fillId="0" borderId="0" xfId="1023" applyNumberFormat="1" applyFont="1" applyAlignment="1" applyProtection="1">
      <alignment horizontal="left" vertical="center"/>
      <protection locked="0"/>
    </xf>
    <xf numFmtId="3" fontId="265" fillId="0" borderId="0" xfId="1023" applyNumberFormat="1" applyFont="1" applyAlignment="1" applyProtection="1">
      <alignment horizontal="left" vertical="center"/>
      <protection locked="0"/>
    </xf>
    <xf numFmtId="49" fontId="47" fillId="0" borderId="120" xfId="1023" applyNumberFormat="1" applyFont="1" applyBorder="1" applyAlignment="1" applyProtection="1">
      <alignment horizontal="center" vertical="center" wrapText="1"/>
      <protection locked="0"/>
    </xf>
    <xf numFmtId="49" fontId="47" fillId="0" borderId="121" xfId="1023" applyNumberFormat="1" applyFont="1" applyBorder="1" applyAlignment="1" applyProtection="1">
      <alignment horizontal="center" vertical="center"/>
      <protection locked="0"/>
    </xf>
    <xf numFmtId="0" fontId="265" fillId="0" borderId="97" xfId="1023" applyFont="1" applyBorder="1" applyAlignment="1" applyProtection="1">
      <alignment horizontal="left" vertical="center"/>
      <protection locked="0"/>
    </xf>
    <xf numFmtId="49" fontId="47" fillId="0" borderId="189" xfId="1023" applyNumberFormat="1" applyFont="1" applyBorder="1" applyAlignment="1" applyProtection="1">
      <alignment horizontal="center" vertical="center"/>
      <protection locked="0"/>
    </xf>
    <xf numFmtId="0" fontId="265" fillId="2" borderId="140" xfId="1023" applyFont="1" applyFill="1" applyBorder="1" applyAlignment="1" applyProtection="1">
      <alignment horizontal="left" vertical="center"/>
      <protection locked="0"/>
    </xf>
    <xf numFmtId="0" fontId="265" fillId="2" borderId="160" xfId="1023" applyFont="1" applyFill="1" applyBorder="1" applyAlignment="1" applyProtection="1">
      <alignment horizontal="center" vertical="center"/>
      <protection locked="0"/>
    </xf>
    <xf numFmtId="3" fontId="47" fillId="0" borderId="109" xfId="1023" applyNumberFormat="1" applyFont="1" applyBorder="1" applyAlignment="1" applyProtection="1">
      <alignment horizontal="left" vertical="center"/>
      <protection hidden="1"/>
    </xf>
    <xf numFmtId="3" fontId="47" fillId="0" borderId="134" xfId="1023" applyNumberFormat="1" applyFont="1" applyBorder="1" applyAlignment="1" applyProtection="1">
      <alignment horizontal="right" vertical="center"/>
      <protection hidden="1"/>
    </xf>
    <xf numFmtId="3" fontId="47" fillId="0" borderId="92" xfId="1023" applyNumberFormat="1" applyFont="1" applyBorder="1" applyAlignment="1" applyProtection="1">
      <alignment horizontal="right" vertical="center"/>
      <protection hidden="1"/>
    </xf>
    <xf numFmtId="3" fontId="47" fillId="0" borderId="110" xfId="1023" applyNumberFormat="1" applyFont="1" applyBorder="1" applyAlignment="1" applyProtection="1">
      <alignment horizontal="left" vertical="center"/>
      <protection hidden="1"/>
    </xf>
    <xf numFmtId="3" fontId="47" fillId="0" borderId="111" xfId="1023" applyNumberFormat="1" applyFont="1" applyBorder="1" applyAlignment="1" applyProtection="1">
      <alignment horizontal="right" vertical="center"/>
      <protection hidden="1"/>
    </xf>
    <xf numFmtId="3" fontId="47" fillId="0" borderId="133" xfId="1023" applyNumberFormat="1" applyFont="1" applyBorder="1" applyAlignment="1" applyProtection="1">
      <alignment horizontal="left" vertical="center"/>
      <protection hidden="1"/>
    </xf>
    <xf numFmtId="3" fontId="47" fillId="0" borderId="109" xfId="1023" applyNumberFormat="1" applyFont="1" applyBorder="1" applyAlignment="1" applyProtection="1">
      <alignment horizontal="left" vertical="center" wrapText="1"/>
      <protection hidden="1"/>
    </xf>
    <xf numFmtId="3" fontId="47" fillId="0" borderId="120" xfId="1023" applyNumberFormat="1" applyFont="1" applyBorder="1" applyAlignment="1" applyProtection="1">
      <alignment horizontal="left" vertical="center" wrapText="1"/>
      <protection hidden="1"/>
    </xf>
    <xf numFmtId="3" fontId="47" fillId="0" borderId="121" xfId="1023" applyNumberFormat="1" applyFont="1" applyBorder="1" applyAlignment="1" applyProtection="1">
      <alignment horizontal="right" vertical="center"/>
      <protection hidden="1"/>
    </xf>
    <xf numFmtId="0" fontId="47" fillId="60" borderId="122" xfId="1023" applyFont="1" applyFill="1" applyBorder="1" applyAlignment="1" applyProtection="1">
      <alignment vertical="center" wrapText="1"/>
      <protection locked="0"/>
    </xf>
    <xf numFmtId="3" fontId="47" fillId="60" borderId="150" xfId="1023" applyNumberFormat="1" applyFont="1" applyFill="1" applyBorder="1" applyAlignment="1" applyProtection="1">
      <alignment horizontal="right" vertical="center"/>
      <protection hidden="1"/>
    </xf>
    <xf numFmtId="3" fontId="47" fillId="60" borderId="151" xfId="1023" applyNumberFormat="1" applyFont="1" applyFill="1" applyBorder="1" applyAlignment="1" applyProtection="1">
      <alignment horizontal="right" vertical="center"/>
      <protection hidden="1"/>
    </xf>
    <xf numFmtId="167" fontId="47" fillId="60" borderId="151" xfId="1023" applyNumberFormat="1" applyFont="1" applyFill="1" applyBorder="1" applyAlignment="1" applyProtection="1">
      <alignment horizontal="right" vertical="center"/>
      <protection hidden="1"/>
    </xf>
    <xf numFmtId="1" fontId="47" fillId="2" borderId="169" xfId="1023" applyNumberFormat="1" applyFont="1" applyFill="1" applyBorder="1" applyAlignment="1" applyProtection="1">
      <alignment horizontal="right" vertical="center"/>
      <protection hidden="1"/>
    </xf>
    <xf numFmtId="3" fontId="47" fillId="60" borderId="169" xfId="1023" applyNumberFormat="1" applyFont="1" applyFill="1" applyBorder="1" applyAlignment="1" applyProtection="1">
      <alignment horizontal="right" vertical="center"/>
      <protection hidden="1"/>
    </xf>
    <xf numFmtId="3" fontId="47" fillId="60" borderId="171" xfId="1023" applyNumberFormat="1" applyFont="1" applyFill="1" applyBorder="1" applyAlignment="1" applyProtection="1">
      <alignment horizontal="right" vertical="center"/>
      <protection hidden="1"/>
    </xf>
    <xf numFmtId="0" fontId="265" fillId="0" borderId="0" xfId="1023" applyFont="1" applyProtection="1">
      <protection hidden="1"/>
    </xf>
    <xf numFmtId="168" fontId="47" fillId="0" borderId="0" xfId="1023" applyNumberFormat="1" applyFont="1" applyProtection="1">
      <protection hidden="1"/>
    </xf>
    <xf numFmtId="0" fontId="3" fillId="7" borderId="112" xfId="0" applyFont="1" applyFill="1" applyBorder="1" applyAlignment="1">
      <alignment horizontal="center" vertical="top" wrapText="1" shrinkToFit="1"/>
    </xf>
    <xf numFmtId="0" fontId="3" fillId="7" borderId="33" xfId="0" applyFont="1" applyFill="1" applyBorder="1" applyAlignment="1">
      <alignment vertical="top" wrapText="1" shrinkToFit="1"/>
    </xf>
    <xf numFmtId="0" fontId="100" fillId="0" borderId="144" xfId="1023" applyFont="1" applyBorder="1" applyAlignment="1" applyProtection="1">
      <alignment horizontal="center"/>
      <protection hidden="1"/>
    </xf>
    <xf numFmtId="3" fontId="100" fillId="0" borderId="121" xfId="1023" applyNumberFormat="1" applyFont="1" applyBorder="1" applyAlignment="1" applyProtection="1">
      <alignment horizontal="center"/>
      <protection hidden="1"/>
    </xf>
    <xf numFmtId="0" fontId="265" fillId="0" borderId="146" xfId="1023" applyFont="1" applyBorder="1" applyAlignment="1" applyProtection="1">
      <alignment horizontal="left"/>
      <protection hidden="1"/>
    </xf>
    <xf numFmtId="168" fontId="100" fillId="0" borderId="134" xfId="1023" applyNumberFormat="1" applyFont="1" applyBorder="1" applyAlignment="1" applyProtection="1">
      <alignment horizontal="center"/>
      <protection hidden="1"/>
    </xf>
    <xf numFmtId="0" fontId="151" fillId="60" borderId="142" xfId="1023" applyFont="1" applyFill="1" applyBorder="1" applyAlignment="1" applyProtection="1">
      <alignment horizontal="center"/>
      <protection hidden="1"/>
    </xf>
    <xf numFmtId="167" fontId="151" fillId="60" borderId="92" xfId="1023" applyNumberFormat="1" applyFont="1" applyFill="1" applyBorder="1" applyAlignment="1" applyProtection="1">
      <alignment horizontal="center"/>
      <protection hidden="1"/>
    </xf>
    <xf numFmtId="0" fontId="151" fillId="2" borderId="142" xfId="1022" applyFont="1" applyFill="1" applyBorder="1" applyAlignment="1" applyProtection="1">
      <alignment vertical="center" wrapText="1"/>
      <protection locked="0"/>
    </xf>
    <xf numFmtId="167" fontId="151" fillId="2" borderId="92" xfId="3" applyNumberFormat="1" applyFont="1" applyFill="1" applyBorder="1" applyAlignment="1" applyProtection="1">
      <alignment horizontal="center"/>
      <protection hidden="1"/>
    </xf>
    <xf numFmtId="3" fontId="266" fillId="0" borderId="142" xfId="1022" applyNumberFormat="1" applyFont="1" applyBorder="1" applyAlignment="1" applyProtection="1">
      <alignment vertical="center" wrapText="1"/>
      <protection locked="0"/>
    </xf>
    <xf numFmtId="4" fontId="100" fillId="0" borderId="92" xfId="3" applyNumberFormat="1" applyFont="1" applyBorder="1" applyAlignment="1" applyProtection="1">
      <alignment horizontal="center"/>
      <protection hidden="1"/>
    </xf>
    <xf numFmtId="3" fontId="47" fillId="0" borderId="142" xfId="1023" applyNumberFormat="1" applyFont="1" applyBorder="1" applyAlignment="1" applyProtection="1">
      <alignment horizontal="left" vertical="center"/>
      <protection hidden="1"/>
    </xf>
    <xf numFmtId="3" fontId="47" fillId="0" borderId="142" xfId="1023" applyNumberFormat="1" applyFont="1" applyBorder="1" applyAlignment="1" applyProtection="1">
      <alignment horizontal="left" vertical="center" wrapText="1"/>
      <protection hidden="1"/>
    </xf>
    <xf numFmtId="3" fontId="47" fillId="0" borderId="172" xfId="1023" applyNumberFormat="1" applyFont="1" applyBorder="1" applyAlignment="1" applyProtection="1">
      <alignment horizontal="left" vertical="center" wrapText="1"/>
      <protection hidden="1"/>
    </xf>
    <xf numFmtId="3" fontId="47" fillId="0" borderId="153" xfId="1023" applyNumberFormat="1" applyFont="1" applyBorder="1" applyAlignment="1" applyProtection="1">
      <alignment horizontal="center" vertical="center"/>
      <protection hidden="1"/>
    </xf>
    <xf numFmtId="4" fontId="100" fillId="0" borderId="117" xfId="1061" applyNumberFormat="1" applyFont="1" applyBorder="1" applyAlignment="1" applyProtection="1">
      <alignment horizontal="center"/>
      <protection hidden="1"/>
    </xf>
    <xf numFmtId="167" fontId="100" fillId="0" borderId="115" xfId="3" applyNumberFormat="1" applyFont="1" applyBorder="1" applyAlignment="1" applyProtection="1">
      <alignment horizontal="center"/>
      <protection hidden="1"/>
    </xf>
    <xf numFmtId="4" fontId="100" fillId="0" borderId="118" xfId="3" applyNumberFormat="1" applyFont="1" applyBorder="1" applyAlignment="1" applyProtection="1">
      <alignment horizontal="center"/>
      <protection hidden="1"/>
    </xf>
    <xf numFmtId="4" fontId="100" fillId="0" borderId="115" xfId="3" applyNumberFormat="1" applyFont="1" applyBorder="1" applyAlignment="1" applyProtection="1">
      <alignment horizontal="center"/>
      <protection hidden="1"/>
    </xf>
    <xf numFmtId="4" fontId="100" fillId="0" borderId="117" xfId="3" applyNumberFormat="1" applyFont="1" applyBorder="1" applyAlignment="1" applyProtection="1">
      <alignment horizontal="center"/>
      <protection hidden="1"/>
    </xf>
    <xf numFmtId="4" fontId="100" fillId="0" borderId="116" xfId="3" applyNumberFormat="1" applyFont="1" applyBorder="1" applyAlignment="1" applyProtection="1">
      <alignment horizontal="center"/>
      <protection hidden="1"/>
    </xf>
    <xf numFmtId="4" fontId="100" fillId="0" borderId="117" xfId="1023" applyNumberFormat="1" applyFont="1" applyBorder="1" applyAlignment="1" applyProtection="1">
      <alignment horizontal="center"/>
      <protection locked="0"/>
    </xf>
    <xf numFmtId="4" fontId="100" fillId="0" borderId="119" xfId="3" applyNumberFormat="1" applyFont="1" applyBorder="1" applyAlignment="1" applyProtection="1">
      <alignment horizontal="center"/>
      <protection hidden="1"/>
    </xf>
    <xf numFmtId="0" fontId="265" fillId="0" borderId="148" xfId="1023" applyFont="1" applyBorder="1" applyAlignment="1" applyProtection="1">
      <alignment horizontal="left"/>
      <protection hidden="1"/>
    </xf>
    <xf numFmtId="168" fontId="100" fillId="0" borderId="113" xfId="1023" applyNumberFormat="1" applyFont="1" applyBorder="1" applyAlignment="1" applyProtection="1">
      <alignment horizontal="center"/>
      <protection hidden="1"/>
    </xf>
    <xf numFmtId="0" fontId="2" fillId="0" borderId="0" xfId="0" applyFont="1" applyAlignment="1">
      <alignment horizontal="right" vertical="top"/>
    </xf>
    <xf numFmtId="0" fontId="2" fillId="0" borderId="0" xfId="0" applyFont="1" applyFill="1" applyBorder="1" applyAlignment="1">
      <alignment horizontal="left" vertical="top" wrapText="1"/>
    </xf>
    <xf numFmtId="49" fontId="47" fillId="0" borderId="2" xfId="1023" applyNumberFormat="1" applyFont="1" applyBorder="1" applyAlignment="1" applyProtection="1">
      <alignment horizontal="center" vertical="center" wrapText="1"/>
      <protection locked="0"/>
    </xf>
    <xf numFmtId="49" fontId="47" fillId="0" borderId="1" xfId="1023" applyNumberFormat="1" applyFont="1" applyBorder="1" applyAlignment="1" applyProtection="1">
      <alignment horizontal="center" vertical="center" wrapText="1"/>
      <protection locked="0"/>
    </xf>
    <xf numFmtId="49" fontId="47" fillId="0" borderId="2" xfId="1024" applyNumberFormat="1" applyFont="1" applyBorder="1" applyAlignment="1" applyProtection="1">
      <alignment horizontal="center" vertical="center" wrapText="1"/>
      <protection locked="0"/>
    </xf>
    <xf numFmtId="168" fontId="47" fillId="0" borderId="2" xfId="1023" applyNumberFormat="1" applyFont="1" applyBorder="1" applyAlignment="1" applyProtection="1">
      <alignment horizontal="center" vertical="center" wrapText="1"/>
      <protection locked="0"/>
    </xf>
    <xf numFmtId="0" fontId="270" fillId="0" borderId="0" xfId="1062" applyFont="1" applyAlignment="1">
      <alignment horizontal="left" vertical="center" wrapText="1"/>
    </xf>
    <xf numFmtId="0" fontId="270" fillId="0" borderId="0" xfId="1062" applyFont="1"/>
    <xf numFmtId="0" fontId="270" fillId="0" borderId="0" xfId="1062" applyFont="1" applyAlignment="1">
      <alignment horizontal="center"/>
    </xf>
    <xf numFmtId="0" fontId="271" fillId="0" borderId="0" xfId="1062" applyFont="1" applyAlignment="1">
      <alignment horizontal="center"/>
    </xf>
    <xf numFmtId="0" fontId="270" fillId="64" borderId="0" xfId="1061" applyFont="1" applyFill="1" applyBorder="1"/>
    <xf numFmtId="0" fontId="270" fillId="0" borderId="0" xfId="1061" applyFont="1"/>
    <xf numFmtId="0" fontId="271" fillId="64" borderId="0" xfId="1061" applyFont="1" applyFill="1" applyBorder="1" applyAlignment="1">
      <alignment horizontal="center" vertical="center" wrapText="1"/>
    </xf>
    <xf numFmtId="0" fontId="271" fillId="0" borderId="0" xfId="1061" applyFont="1" applyBorder="1" applyAlignment="1">
      <alignment horizontal="center" vertical="center" wrapText="1"/>
    </xf>
    <xf numFmtId="0" fontId="270" fillId="64" borderId="0" xfId="1061" applyFont="1" applyFill="1" applyBorder="1" applyAlignment="1">
      <alignment horizontal="center" wrapText="1"/>
    </xf>
    <xf numFmtId="0" fontId="270" fillId="64" borderId="0" xfId="1061" applyFont="1" applyFill="1" applyBorder="1" applyAlignment="1">
      <alignment wrapText="1"/>
    </xf>
    <xf numFmtId="0" fontId="270" fillId="64" borderId="0" xfId="1061" applyFont="1" applyFill="1" applyBorder="1" applyAlignment="1">
      <alignment horizontal="center" vertical="center" wrapText="1"/>
    </xf>
    <xf numFmtId="0" fontId="270" fillId="0" borderId="0" xfId="1061" applyFont="1" applyBorder="1" applyAlignment="1">
      <alignment horizontal="center" vertical="center" wrapText="1"/>
    </xf>
    <xf numFmtId="2" fontId="270" fillId="64" borderId="0" xfId="1061" applyNumberFormat="1" applyFont="1" applyFill="1" applyBorder="1" applyAlignment="1">
      <alignment horizontal="center" vertical="center" wrapText="1"/>
    </xf>
    <xf numFmtId="1" fontId="270" fillId="64" borderId="0" xfId="1061" applyNumberFormat="1" applyFont="1" applyFill="1" applyBorder="1" applyAlignment="1">
      <alignment horizontal="center" vertical="center" wrapText="1"/>
    </xf>
    <xf numFmtId="1" fontId="270" fillId="0" borderId="0" xfId="1061" applyNumberFormat="1" applyFont="1" applyBorder="1" applyAlignment="1">
      <alignment horizontal="center" vertical="center" wrapText="1"/>
    </xf>
    <xf numFmtId="0" fontId="271" fillId="64" borderId="0" xfId="1061" applyFont="1" applyFill="1" applyBorder="1" applyAlignment="1">
      <alignment horizontal="center" wrapText="1"/>
    </xf>
    <xf numFmtId="0" fontId="271" fillId="64" borderId="0" xfId="1061" applyFont="1" applyFill="1" applyBorder="1" applyAlignment="1">
      <alignment wrapText="1"/>
    </xf>
    <xf numFmtId="2" fontId="24" fillId="0" borderId="0" xfId="1090" applyNumberFormat="1" applyFont="1" applyFill="1" applyBorder="1" applyAlignment="1" applyProtection="1">
      <alignment horizontal="center" vertical="top"/>
    </xf>
    <xf numFmtId="0" fontId="24" fillId="0" borderId="0" xfId="1087" applyFont="1"/>
    <xf numFmtId="0" fontId="24" fillId="0" borderId="2" xfId="1090" applyNumberFormat="1" applyFont="1" applyFill="1" applyBorder="1" applyAlignment="1" applyProtection="1">
      <alignment vertical="top" wrapText="1"/>
    </xf>
    <xf numFmtId="0" fontId="24" fillId="0" borderId="2" xfId="1090" applyNumberFormat="1" applyFont="1" applyFill="1" applyBorder="1" applyAlignment="1" applyProtection="1">
      <alignment vertical="top"/>
    </xf>
    <xf numFmtId="2" fontId="24" fillId="0" borderId="0" xfId="1090" applyNumberFormat="1" applyFont="1" applyFill="1" applyBorder="1" applyAlignment="1" applyProtection="1">
      <alignment vertical="top"/>
    </xf>
    <xf numFmtId="0" fontId="24" fillId="0" borderId="2" xfId="1090" applyNumberFormat="1" applyFont="1" applyFill="1" applyBorder="1" applyAlignment="1" applyProtection="1">
      <alignment horizontal="center" vertical="top" wrapText="1"/>
    </xf>
    <xf numFmtId="2" fontId="24" fillId="0" borderId="2" xfId="1090" applyNumberFormat="1" applyFont="1" applyFill="1" applyBorder="1" applyAlignment="1" applyProtection="1">
      <alignment horizontal="center" vertical="top" wrapText="1"/>
    </xf>
    <xf numFmtId="0" fontId="24" fillId="0" borderId="2" xfId="1090" applyNumberFormat="1" applyFont="1" applyFill="1" applyBorder="1" applyAlignment="1" applyProtection="1">
      <alignment horizontal="left" vertical="top" wrapText="1"/>
    </xf>
    <xf numFmtId="0" fontId="24" fillId="0" borderId="2" xfId="1090" applyNumberFormat="1" applyFont="1" applyFill="1" applyBorder="1" applyAlignment="1" applyProtection="1">
      <alignment horizontal="center" vertical="top"/>
    </xf>
    <xf numFmtId="2" fontId="24" fillId="0" borderId="2" xfId="1090" applyNumberFormat="1" applyFont="1" applyFill="1" applyBorder="1" applyAlignment="1" applyProtection="1">
      <alignment horizontal="center" vertical="top"/>
    </xf>
    <xf numFmtId="0" fontId="42" fillId="0" borderId="0" xfId="1087" applyFont="1"/>
    <xf numFmtId="0" fontId="42" fillId="0" borderId="2" xfId="1090" applyNumberFormat="1" applyFont="1" applyFill="1" applyBorder="1" applyAlignment="1" applyProtection="1">
      <alignment horizontal="left" vertical="top" wrapText="1"/>
    </xf>
    <xf numFmtId="0" fontId="24" fillId="0" borderId="2" xfId="1090" applyNumberFormat="1" applyFont="1" applyFill="1" applyBorder="1" applyAlignment="1" applyProtection="1">
      <alignment horizontal="left" vertical="top"/>
    </xf>
    <xf numFmtId="2" fontId="42" fillId="0" borderId="2" xfId="1090" applyNumberFormat="1" applyFont="1" applyFill="1" applyBorder="1" applyAlignment="1" applyProtection="1">
      <alignment horizontal="center" vertical="top"/>
    </xf>
    <xf numFmtId="0" fontId="24" fillId="0" borderId="0" xfId="1087" applyFont="1" applyAlignment="1">
      <alignment wrapText="1"/>
    </xf>
    <xf numFmtId="2" fontId="24" fillId="0" borderId="0" xfId="1087" applyNumberFormat="1" applyFont="1"/>
    <xf numFmtId="0" fontId="2" fillId="0" borderId="0" xfId="1063" applyFont="1" applyAlignment="1">
      <alignment horizontal="center"/>
    </xf>
    <xf numFmtId="0" fontId="2" fillId="0" borderId="0" xfId="1063" applyFont="1"/>
    <xf numFmtId="0" fontId="49" fillId="0" borderId="0" xfId="1063"/>
    <xf numFmtId="0" fontId="3" fillId="0" borderId="0" xfId="1063" applyFont="1"/>
    <xf numFmtId="0" fontId="202" fillId="0" borderId="0" xfId="1063" applyFont="1"/>
    <xf numFmtId="0" fontId="2" fillId="0" borderId="2" xfId="1061" applyFont="1" applyBorder="1" applyAlignment="1">
      <alignment wrapText="1"/>
    </xf>
    <xf numFmtId="0" fontId="273" fillId="0" borderId="0" xfId="1063" applyFont="1"/>
    <xf numFmtId="0" fontId="2" fillId="0" borderId="2" xfId="1061" applyFont="1" applyBorder="1" applyAlignment="1">
      <alignment horizontal="center" vertical="center" wrapText="1"/>
    </xf>
    <xf numFmtId="0" fontId="273" fillId="0" borderId="0" xfId="1063" applyFont="1" applyAlignment="1">
      <alignment horizontal="center" vertical="center"/>
    </xf>
    <xf numFmtId="0" fontId="49" fillId="0" borderId="0" xfId="1063" applyAlignment="1">
      <alignment horizontal="center" vertical="center"/>
    </xf>
    <xf numFmtId="0" fontId="262" fillId="0" borderId="0" xfId="1063" applyFont="1"/>
    <xf numFmtId="0" fontId="7" fillId="0" borderId="0" xfId="1086" applyFont="1" applyAlignment="1">
      <alignment wrapText="1"/>
    </xf>
    <xf numFmtId="1" fontId="7" fillId="0" borderId="0" xfId="1086" applyNumberFormat="1" applyFont="1" applyAlignment="1">
      <alignment wrapText="1"/>
    </xf>
    <xf numFmtId="0" fontId="2" fillId="0" borderId="2" xfId="1061" applyFont="1" applyFill="1" applyBorder="1" applyAlignment="1">
      <alignment horizontal="justify" vertical="top" wrapText="1"/>
    </xf>
    <xf numFmtId="4" fontId="7" fillId="0" borderId="0" xfId="1086" applyNumberFormat="1" applyFont="1" applyAlignment="1">
      <alignment wrapText="1"/>
    </xf>
    <xf numFmtId="0" fontId="273" fillId="0" borderId="0" xfId="1063" applyFont="1" applyAlignment="1">
      <alignment horizontal="center"/>
    </xf>
    <xf numFmtId="0" fontId="49" fillId="0" borderId="0" xfId="1063" applyAlignment="1">
      <alignment horizontal="center"/>
    </xf>
    <xf numFmtId="0" fontId="274" fillId="0" borderId="0" xfId="999" applyFont="1" applyBorder="1" applyAlignment="1" applyProtection="1">
      <alignment horizontal="left" vertical="center" indent="6"/>
      <protection hidden="1"/>
    </xf>
    <xf numFmtId="0" fontId="274" fillId="0" borderId="0" xfId="999" applyFont="1" applyBorder="1" applyAlignment="1" applyProtection="1">
      <alignment horizontal="center" vertical="center"/>
      <protection hidden="1"/>
    </xf>
    <xf numFmtId="0" fontId="275" fillId="0" borderId="0" xfId="999" applyFont="1" applyBorder="1" applyAlignment="1" applyProtection="1">
      <alignment horizontal="right" vertical="center"/>
      <protection hidden="1"/>
    </xf>
    <xf numFmtId="0" fontId="275" fillId="0" borderId="0" xfId="999" applyFont="1" applyBorder="1" applyAlignment="1" applyProtection="1">
      <alignment vertical="center"/>
      <protection hidden="1"/>
    </xf>
    <xf numFmtId="0" fontId="274" fillId="0" borderId="197" xfId="999" applyFont="1" applyBorder="1" applyAlignment="1" applyProtection="1">
      <alignment vertical="center" wrapText="1"/>
      <protection hidden="1"/>
    </xf>
    <xf numFmtId="1" fontId="275" fillId="0" borderId="197" xfId="1024" applyNumberFormat="1" applyFont="1" applyBorder="1" applyAlignment="1" applyProtection="1">
      <alignment horizontal="center" vertical="center"/>
      <protection hidden="1"/>
    </xf>
    <xf numFmtId="1" fontId="275" fillId="0" borderId="199" xfId="1024" applyNumberFormat="1" applyFont="1" applyBorder="1" applyAlignment="1" applyProtection="1">
      <alignment horizontal="center" vertical="center"/>
      <protection hidden="1"/>
    </xf>
    <xf numFmtId="1" fontId="274" fillId="0" borderId="200" xfId="1024" applyNumberFormat="1" applyFont="1" applyBorder="1" applyAlignment="1" applyProtection="1">
      <alignment horizontal="center" vertical="center"/>
      <protection hidden="1"/>
    </xf>
    <xf numFmtId="2" fontId="275" fillId="0" borderId="0" xfId="1024" applyNumberFormat="1" applyFont="1" applyBorder="1" applyAlignment="1" applyProtection="1">
      <alignment vertical="center"/>
      <protection hidden="1"/>
    </xf>
    <xf numFmtId="2" fontId="274" fillId="0" borderId="201" xfId="1024" applyNumberFormat="1" applyFont="1" applyBorder="1" applyAlignment="1" applyProtection="1">
      <alignment horizontal="center" vertical="center" wrapText="1"/>
      <protection hidden="1"/>
    </xf>
    <xf numFmtId="1" fontId="275" fillId="0" borderId="202" xfId="1024" applyNumberFormat="1" applyFont="1" applyBorder="1" applyAlignment="1" applyProtection="1">
      <alignment horizontal="center" vertical="center" wrapText="1"/>
      <protection hidden="1"/>
    </xf>
    <xf numFmtId="245" fontId="275" fillId="0" borderId="3" xfId="1024" applyNumberFormat="1" applyFont="1" applyBorder="1" applyAlignment="1" applyProtection="1">
      <alignment horizontal="center" vertical="center" wrapText="1"/>
      <protection hidden="1"/>
    </xf>
    <xf numFmtId="2" fontId="275" fillId="0" borderId="71" xfId="1024" applyNumberFormat="1" applyFont="1" applyBorder="1" applyAlignment="1" applyProtection="1">
      <alignment horizontal="center" vertical="center" wrapText="1"/>
      <protection hidden="1"/>
    </xf>
    <xf numFmtId="1" fontId="275" fillId="0" borderId="201" xfId="1024" applyNumberFormat="1" applyFont="1" applyBorder="1" applyAlignment="1" applyProtection="1">
      <alignment horizontal="center" vertical="center"/>
      <protection hidden="1"/>
    </xf>
    <xf numFmtId="1" fontId="275" fillId="0" borderId="202" xfId="1024" applyNumberFormat="1" applyFont="1" applyBorder="1" applyAlignment="1" applyProtection="1">
      <alignment horizontal="center" vertical="center"/>
      <protection hidden="1"/>
    </xf>
    <xf numFmtId="1" fontId="274" fillId="0" borderId="203" xfId="1024" applyNumberFormat="1" applyFont="1" applyBorder="1" applyAlignment="1" applyProtection="1">
      <alignment horizontal="center" vertical="center"/>
      <protection hidden="1"/>
    </xf>
    <xf numFmtId="2" fontId="275" fillId="0" borderId="0" xfId="1024" applyNumberFormat="1" applyFont="1" applyBorder="1" applyAlignment="1" applyProtection="1">
      <alignment horizontal="center" vertical="center"/>
      <protection hidden="1"/>
    </xf>
    <xf numFmtId="2" fontId="274" fillId="65" borderId="204" xfId="1024" applyNumberFormat="1" applyFont="1" applyFill="1" applyBorder="1" applyAlignment="1" applyProtection="1">
      <alignment vertical="center" wrapText="1"/>
      <protection hidden="1"/>
    </xf>
    <xf numFmtId="2" fontId="274" fillId="65" borderId="205" xfId="1024" applyNumberFormat="1" applyFont="1" applyFill="1" applyBorder="1" applyAlignment="1" applyProtection="1">
      <alignment horizontal="center" vertical="center" wrapText="1"/>
      <protection hidden="1"/>
    </xf>
    <xf numFmtId="2" fontId="274" fillId="4" borderId="55" xfId="1024" applyNumberFormat="1" applyFont="1" applyFill="1" applyBorder="1" applyAlignment="1" applyProtection="1">
      <alignment horizontal="center" vertical="center" wrapText="1"/>
      <protection hidden="1"/>
    </xf>
    <xf numFmtId="2" fontId="274" fillId="65" borderId="196" xfId="1024" applyNumberFormat="1" applyFont="1" applyFill="1" applyBorder="1" applyAlignment="1" applyProtection="1">
      <alignment horizontal="center" vertical="center" wrapText="1"/>
      <protection hidden="1"/>
    </xf>
    <xf numFmtId="2" fontId="274" fillId="0" borderId="204" xfId="1024" applyNumberFormat="1" applyFont="1" applyBorder="1" applyAlignment="1" applyProtection="1">
      <alignment vertical="center" wrapText="1"/>
      <protection hidden="1"/>
    </xf>
    <xf numFmtId="1" fontId="275" fillId="0" borderId="205" xfId="1024" applyNumberFormat="1" applyFont="1" applyBorder="1" applyAlignment="1" applyProtection="1">
      <alignment horizontal="center" vertical="center"/>
      <protection hidden="1"/>
    </xf>
    <xf numFmtId="245" fontId="275" fillId="0" borderId="55" xfId="1024" applyNumberFormat="1" applyFont="1" applyBorder="1" applyAlignment="1" applyProtection="1">
      <alignment horizontal="center" vertical="center"/>
      <protection hidden="1"/>
    </xf>
    <xf numFmtId="2" fontId="275" fillId="0" borderId="55" xfId="1024" applyNumberFormat="1" applyFont="1" applyBorder="1" applyAlignment="1" applyProtection="1">
      <alignment horizontal="center" vertical="center"/>
      <protection hidden="1"/>
    </xf>
    <xf numFmtId="1" fontId="274" fillId="0" borderId="196" xfId="1024" applyNumberFormat="1" applyFont="1" applyBorder="1" applyAlignment="1" applyProtection="1">
      <alignment horizontal="center" vertical="center"/>
      <protection hidden="1"/>
    </xf>
    <xf numFmtId="2" fontId="274" fillId="66" borderId="197" xfId="1024" applyNumberFormat="1" applyFont="1" applyFill="1" applyBorder="1" applyAlignment="1" applyProtection="1">
      <alignment vertical="center" wrapText="1"/>
      <protection hidden="1"/>
    </xf>
    <xf numFmtId="1" fontId="274" fillId="66" borderId="206" xfId="1024" applyNumberFormat="1" applyFont="1" applyFill="1" applyBorder="1" applyAlignment="1" applyProtection="1">
      <alignment horizontal="center" vertical="center"/>
      <protection locked="0"/>
    </xf>
    <xf numFmtId="2" fontId="274" fillId="61" borderId="99" xfId="1024" applyNumberFormat="1" applyFont="1" applyFill="1" applyBorder="1" applyAlignment="1" applyProtection="1">
      <alignment horizontal="center" vertical="center"/>
      <protection locked="0"/>
    </xf>
    <xf numFmtId="2" fontId="274" fillId="61" borderId="100" xfId="1024" applyNumberFormat="1" applyFont="1" applyFill="1" applyBorder="1" applyAlignment="1" applyProtection="1">
      <alignment horizontal="center" vertical="center"/>
      <protection locked="0"/>
    </xf>
    <xf numFmtId="1" fontId="274" fillId="66" borderId="197" xfId="1024" applyNumberFormat="1" applyFont="1" applyFill="1" applyBorder="1" applyAlignment="1" applyProtection="1">
      <alignment horizontal="center" vertical="center"/>
      <protection hidden="1"/>
    </xf>
    <xf numFmtId="1" fontId="274" fillId="66" borderId="199" xfId="1024" applyNumberFormat="1" applyFont="1" applyFill="1" applyBorder="1" applyAlignment="1" applyProtection="1">
      <alignment horizontal="center" vertical="center"/>
      <protection hidden="1"/>
    </xf>
    <xf numFmtId="1" fontId="274" fillId="66" borderId="200" xfId="1024" applyNumberFormat="1" applyFont="1" applyFill="1" applyBorder="1" applyAlignment="1" applyProtection="1">
      <alignment horizontal="center" vertical="center"/>
      <protection hidden="1"/>
    </xf>
    <xf numFmtId="2" fontId="275" fillId="0" borderId="0" xfId="1024" applyNumberFormat="1" applyFont="1" applyBorder="1" applyAlignment="1" applyProtection="1">
      <alignment vertical="center"/>
      <protection locked="0"/>
    </xf>
    <xf numFmtId="2" fontId="275" fillId="0" borderId="207" xfId="1024" applyNumberFormat="1" applyFont="1" applyBorder="1" applyAlignment="1" applyProtection="1">
      <alignment horizontal="left" vertical="center" wrapText="1"/>
      <protection hidden="1"/>
    </xf>
    <xf numFmtId="1" fontId="275" fillId="0" borderId="208" xfId="1024" applyNumberFormat="1" applyFont="1" applyBorder="1" applyAlignment="1" applyProtection="1">
      <alignment horizontal="center" vertical="center"/>
      <protection hidden="1"/>
    </xf>
    <xf numFmtId="1" fontId="275" fillId="0" borderId="209" xfId="1024" applyNumberFormat="1" applyFont="1" applyBorder="1" applyAlignment="1" applyProtection="1">
      <alignment horizontal="center" vertical="center"/>
      <protection hidden="1"/>
    </xf>
    <xf numFmtId="1" fontId="275" fillId="0" borderId="56" xfId="1024" applyNumberFormat="1" applyFont="1" applyBorder="1" applyAlignment="1" applyProtection="1">
      <alignment horizontal="center" vertical="center"/>
      <protection hidden="1"/>
    </xf>
    <xf numFmtId="1" fontId="275" fillId="0" borderId="73" xfId="1024" applyNumberFormat="1" applyFont="1" applyBorder="1" applyAlignment="1" applyProtection="1">
      <alignment horizontal="center" vertical="center"/>
      <protection hidden="1"/>
    </xf>
    <xf numFmtId="1" fontId="275" fillId="0" borderId="210" xfId="1024" applyNumberFormat="1" applyFont="1" applyBorder="1" applyAlignment="1" applyProtection="1">
      <alignment horizontal="center" vertical="center"/>
      <protection locked="0"/>
    </xf>
    <xf numFmtId="1" fontId="275" fillId="0" borderId="94" xfId="1024" applyNumberFormat="1" applyFont="1" applyBorder="1" applyAlignment="1" applyProtection="1">
      <alignment horizontal="center" vertical="center"/>
      <protection locked="0"/>
    </xf>
    <xf numFmtId="1" fontId="274" fillId="67" borderId="211" xfId="1024" applyNumberFormat="1" applyFont="1" applyFill="1" applyBorder="1" applyAlignment="1" applyProtection="1">
      <alignment horizontal="center" vertical="center"/>
      <protection hidden="1"/>
    </xf>
    <xf numFmtId="1" fontId="275" fillId="0" borderId="212" xfId="1024" applyNumberFormat="1" applyFont="1" applyBorder="1" applyAlignment="1" applyProtection="1">
      <alignment horizontal="center" vertical="center"/>
      <protection hidden="1"/>
    </xf>
    <xf numFmtId="1" fontId="275" fillId="0" borderId="0" xfId="1024" applyNumberFormat="1" applyFont="1" applyBorder="1" applyAlignment="1" applyProtection="1">
      <alignment horizontal="center" vertical="center"/>
      <protection hidden="1"/>
    </xf>
    <xf numFmtId="1" fontId="275" fillId="0" borderId="53" xfId="1024" applyNumberFormat="1" applyFont="1" applyBorder="1" applyAlignment="1" applyProtection="1">
      <alignment horizontal="center" vertical="center"/>
      <protection hidden="1"/>
    </xf>
    <xf numFmtId="2" fontId="275" fillId="0" borderId="213" xfId="1024" applyNumberFormat="1" applyFont="1" applyBorder="1" applyAlignment="1" applyProtection="1">
      <alignment horizontal="left" vertical="center" wrapText="1"/>
      <protection hidden="1"/>
    </xf>
    <xf numFmtId="1" fontId="275" fillId="0" borderId="214" xfId="1024" applyNumberFormat="1" applyFont="1" applyBorder="1" applyAlignment="1" applyProtection="1">
      <alignment horizontal="center" vertical="center"/>
      <protection locked="0"/>
    </xf>
    <xf numFmtId="1" fontId="275" fillId="0" borderId="215" xfId="1024" applyNumberFormat="1" applyFont="1" applyBorder="1" applyAlignment="1" applyProtection="1">
      <alignment horizontal="center" vertical="center"/>
      <protection locked="0"/>
    </xf>
    <xf numFmtId="1" fontId="274" fillId="67" borderId="216" xfId="1024" applyNumberFormat="1" applyFont="1" applyFill="1" applyBorder="1" applyAlignment="1" applyProtection="1">
      <alignment horizontal="center" vertical="center"/>
      <protection hidden="1"/>
    </xf>
    <xf numFmtId="2" fontId="274" fillId="0" borderId="204" xfId="1024" applyNumberFormat="1" applyFont="1" applyBorder="1" applyAlignment="1" applyProtection="1">
      <alignment horizontal="left" vertical="center" wrapText="1"/>
      <protection hidden="1"/>
    </xf>
    <xf numFmtId="1" fontId="275" fillId="0" borderId="204" xfId="1024" applyNumberFormat="1" applyFont="1" applyBorder="1" applyAlignment="1" applyProtection="1">
      <alignment horizontal="center" vertical="center"/>
      <protection hidden="1"/>
    </xf>
    <xf numFmtId="1" fontId="274" fillId="67" borderId="196" xfId="999" applyNumberFormat="1" applyFont="1" applyFill="1" applyBorder="1" applyAlignment="1" applyProtection="1">
      <alignment horizontal="center" vertical="center"/>
      <protection hidden="1"/>
    </xf>
    <xf numFmtId="181" fontId="275" fillId="0" borderId="217" xfId="1024" applyNumberFormat="1" applyFont="1" applyBorder="1" applyAlignment="1" applyProtection="1">
      <alignment horizontal="left" vertical="center" wrapText="1"/>
      <protection hidden="1"/>
    </xf>
    <xf numFmtId="1" fontId="275" fillId="0" borderId="218" xfId="1024" applyNumberFormat="1" applyFont="1" applyBorder="1" applyAlignment="1" applyProtection="1">
      <alignment horizontal="center" vertical="center"/>
      <protection locked="0"/>
    </xf>
    <xf numFmtId="1" fontId="275" fillId="0" borderId="219" xfId="1024" applyNumberFormat="1" applyFont="1" applyBorder="1" applyAlignment="1" applyProtection="1">
      <alignment horizontal="center" vertical="center"/>
      <protection locked="0"/>
    </xf>
    <xf numFmtId="1" fontId="275" fillId="0" borderId="220" xfId="1024" applyNumberFormat="1" applyFont="1" applyBorder="1" applyAlignment="1" applyProtection="1">
      <alignment horizontal="center" vertical="center"/>
      <protection locked="0"/>
    </xf>
    <xf numFmtId="1" fontId="274" fillId="67" borderId="221" xfId="1024" applyNumberFormat="1" applyFont="1" applyFill="1" applyBorder="1" applyAlignment="1" applyProtection="1">
      <alignment horizontal="center" vertical="center"/>
      <protection hidden="1"/>
    </xf>
    <xf numFmtId="181" fontId="275" fillId="0" borderId="207" xfId="1024" applyNumberFormat="1" applyFont="1" applyBorder="1" applyAlignment="1" applyProtection="1">
      <alignment horizontal="left" vertical="center" wrapText="1"/>
      <protection hidden="1"/>
    </xf>
    <xf numFmtId="1" fontId="275" fillId="0" borderId="94" xfId="1024" applyNumberFormat="1" applyFont="1" applyBorder="1" applyAlignment="1" applyProtection="1">
      <alignment horizontal="center" vertical="center"/>
      <protection hidden="1"/>
    </xf>
    <xf numFmtId="1" fontId="274" fillId="67" borderId="222" xfId="1024" applyNumberFormat="1" applyFont="1" applyFill="1" applyBorder="1" applyAlignment="1" applyProtection="1">
      <alignment horizontal="center" vertical="center"/>
      <protection hidden="1"/>
    </xf>
    <xf numFmtId="2" fontId="275" fillId="68" borderId="207" xfId="1024" applyNumberFormat="1" applyFont="1" applyFill="1" applyBorder="1" applyAlignment="1" applyProtection="1">
      <alignment horizontal="left" vertical="center" wrapText="1"/>
      <protection hidden="1"/>
    </xf>
    <xf numFmtId="1" fontId="275" fillId="0" borderId="223" xfId="1024" applyNumberFormat="1" applyFont="1" applyBorder="1" applyAlignment="1" applyProtection="1">
      <alignment horizontal="center" vertical="center"/>
      <protection hidden="1"/>
    </xf>
    <xf numFmtId="1" fontId="275" fillId="0" borderId="224" xfId="1024" applyNumberFormat="1" applyFont="1" applyBorder="1" applyAlignment="1" applyProtection="1">
      <alignment horizontal="center" vertical="center"/>
      <protection hidden="1"/>
    </xf>
    <xf numFmtId="1" fontId="275" fillId="0" borderId="57" xfId="1024" applyNumberFormat="1" applyFont="1" applyBorder="1" applyAlignment="1" applyProtection="1">
      <alignment horizontal="center" vertical="center"/>
      <protection hidden="1"/>
    </xf>
    <xf numFmtId="1" fontId="275" fillId="0" borderId="51" xfId="1024" applyNumberFormat="1" applyFont="1" applyBorder="1" applyAlignment="1" applyProtection="1">
      <alignment horizontal="center" vertical="center"/>
      <protection hidden="1"/>
    </xf>
    <xf numFmtId="1" fontId="275" fillId="68" borderId="225" xfId="1024" applyNumberFormat="1" applyFont="1" applyFill="1" applyBorder="1" applyAlignment="1" applyProtection="1">
      <alignment horizontal="center" vertical="center"/>
      <protection hidden="1"/>
    </xf>
    <xf numFmtId="1" fontId="274" fillId="68" borderId="211" xfId="1024" applyNumberFormat="1" applyFont="1" applyFill="1" applyBorder="1" applyAlignment="1" applyProtection="1">
      <alignment horizontal="center" vertical="center"/>
      <protection hidden="1"/>
    </xf>
    <xf numFmtId="2" fontId="275" fillId="69" borderId="226" xfId="1024" applyNumberFormat="1" applyFont="1" applyFill="1" applyBorder="1" applyAlignment="1" applyProtection="1">
      <alignment horizontal="left" vertical="center" wrapText="1"/>
      <protection hidden="1"/>
    </xf>
    <xf numFmtId="1" fontId="275" fillId="69" borderId="227" xfId="1024" applyNumberFormat="1" applyFont="1" applyFill="1" applyBorder="1" applyAlignment="1" applyProtection="1">
      <alignment horizontal="center" vertical="center"/>
      <protection hidden="1"/>
    </xf>
    <xf numFmtId="245" fontId="275" fillId="60" borderId="58" xfId="1024" applyNumberFormat="1" applyFont="1" applyFill="1" applyBorder="1" applyAlignment="1" applyProtection="1">
      <alignment horizontal="center" vertical="center"/>
      <protection hidden="1"/>
    </xf>
    <xf numFmtId="1" fontId="275" fillId="60" borderId="58" xfId="1024" applyNumberFormat="1" applyFont="1" applyFill="1" applyBorder="1" applyAlignment="1" applyProtection="1">
      <alignment horizontal="center" vertical="center"/>
      <protection hidden="1"/>
    </xf>
    <xf numFmtId="1" fontId="275" fillId="69" borderId="201" xfId="1024" applyNumberFormat="1" applyFont="1" applyFill="1" applyBorder="1" applyAlignment="1" applyProtection="1">
      <alignment horizontal="center" vertical="center"/>
      <protection hidden="1"/>
    </xf>
    <xf numFmtId="1" fontId="275" fillId="69" borderId="202" xfId="1024" applyNumberFormat="1" applyFont="1" applyFill="1" applyBorder="1" applyAlignment="1" applyProtection="1">
      <alignment horizontal="center" vertical="center"/>
      <protection hidden="1"/>
    </xf>
    <xf numFmtId="1" fontId="275" fillId="69" borderId="203" xfId="1024" applyNumberFormat="1" applyFont="1" applyFill="1" applyBorder="1" applyAlignment="1" applyProtection="1">
      <alignment horizontal="center" vertical="center"/>
      <protection hidden="1"/>
    </xf>
    <xf numFmtId="1" fontId="274" fillId="66" borderId="199" xfId="1024" applyNumberFormat="1" applyFont="1" applyFill="1" applyBorder="1" applyAlignment="1" applyProtection="1">
      <alignment horizontal="center" vertical="center"/>
      <protection locked="0"/>
    </xf>
    <xf numFmtId="245" fontId="274" fillId="61" borderId="17" xfId="1024" applyNumberFormat="1" applyFont="1" applyFill="1" applyBorder="1" applyAlignment="1" applyProtection="1">
      <alignment horizontal="center" vertical="center"/>
      <protection locked="0"/>
    </xf>
    <xf numFmtId="1" fontId="274" fillId="66" borderId="206" xfId="1024" applyNumberFormat="1" applyFont="1" applyFill="1" applyBorder="1" applyAlignment="1" applyProtection="1">
      <alignment horizontal="center" vertical="center"/>
      <protection hidden="1"/>
    </xf>
    <xf numFmtId="2" fontId="275" fillId="0" borderId="210" xfId="1024" applyNumberFormat="1" applyFont="1" applyBorder="1" applyAlignment="1" applyProtection="1">
      <alignment horizontal="left" vertical="center" wrapText="1"/>
      <protection hidden="1"/>
    </xf>
    <xf numFmtId="1" fontId="275" fillId="0" borderId="207" xfId="1024" applyNumberFormat="1" applyFont="1" applyBorder="1" applyAlignment="1" applyProtection="1">
      <alignment horizontal="center" vertical="center"/>
      <protection locked="0"/>
    </xf>
    <xf numFmtId="1" fontId="275" fillId="0" borderId="2" xfId="1024" applyNumberFormat="1" applyFont="1" applyBorder="1" applyAlignment="1" applyProtection="1">
      <alignment horizontal="center" vertical="center"/>
      <protection locked="0"/>
    </xf>
    <xf numFmtId="1" fontId="275" fillId="0" borderId="225" xfId="1024" applyNumberFormat="1" applyFont="1" applyBorder="1" applyAlignment="1" applyProtection="1">
      <alignment horizontal="center" vertical="center"/>
      <protection locked="0"/>
    </xf>
    <xf numFmtId="2" fontId="275" fillId="0" borderId="214" xfId="1024" applyNumberFormat="1" applyFont="1" applyBorder="1" applyAlignment="1" applyProtection="1">
      <alignment horizontal="left" vertical="center" wrapText="1"/>
      <protection hidden="1"/>
    </xf>
    <xf numFmtId="2" fontId="274" fillId="0" borderId="228" xfId="1024" applyNumberFormat="1" applyFont="1" applyBorder="1" applyAlignment="1" applyProtection="1">
      <alignment horizontal="left" vertical="center" wrapText="1"/>
      <protection hidden="1"/>
    </xf>
    <xf numFmtId="1" fontId="275" fillId="0" borderId="229" xfId="1024" applyNumberFormat="1" applyFont="1" applyBorder="1" applyAlignment="1" applyProtection="1">
      <alignment horizontal="center" vertical="center"/>
      <protection hidden="1"/>
    </xf>
    <xf numFmtId="1" fontId="275" fillId="0" borderId="230" xfId="1024" applyNumberFormat="1" applyFont="1" applyBorder="1" applyAlignment="1" applyProtection="1">
      <alignment horizontal="center" vertical="center"/>
      <protection hidden="1"/>
    </xf>
    <xf numFmtId="181" fontId="275" fillId="0" borderId="231" xfId="1024" applyNumberFormat="1" applyFont="1" applyBorder="1" applyAlignment="1" applyProtection="1">
      <alignment horizontal="left" vertical="center" wrapText="1"/>
      <protection hidden="1"/>
    </xf>
    <xf numFmtId="1" fontId="275" fillId="0" borderId="232" xfId="1024" applyNumberFormat="1" applyFont="1" applyBorder="1" applyAlignment="1" applyProtection="1">
      <alignment horizontal="center" vertical="center"/>
      <protection locked="0"/>
    </xf>
    <xf numFmtId="1" fontId="275" fillId="0" borderId="233" xfId="1024" applyNumberFormat="1" applyFont="1" applyBorder="1" applyAlignment="1" applyProtection="1">
      <alignment horizontal="center" vertical="center"/>
      <protection locked="0"/>
    </xf>
    <xf numFmtId="1" fontId="275" fillId="0" borderId="234" xfId="1024" applyNumberFormat="1" applyFont="1" applyBorder="1" applyAlignment="1" applyProtection="1">
      <alignment horizontal="center" vertical="center"/>
      <protection locked="0"/>
    </xf>
    <xf numFmtId="181" fontId="275" fillId="0" borderId="210" xfId="1024" applyNumberFormat="1" applyFont="1" applyBorder="1" applyAlignment="1" applyProtection="1">
      <alignment horizontal="left" vertical="center" wrapText="1"/>
      <protection hidden="1"/>
    </xf>
    <xf numFmtId="1" fontId="275" fillId="0" borderId="235" xfId="1024" applyNumberFormat="1" applyFont="1" applyBorder="1" applyAlignment="1" applyProtection="1">
      <alignment horizontal="center" vertical="center"/>
      <protection hidden="1"/>
    </xf>
    <xf numFmtId="1" fontId="275" fillId="0" borderId="236" xfId="1024" applyNumberFormat="1" applyFont="1" applyBorder="1" applyAlignment="1" applyProtection="1">
      <alignment horizontal="center" vertical="center"/>
      <protection locked="0"/>
    </xf>
    <xf numFmtId="2" fontId="275" fillId="68" borderId="210" xfId="1024" applyNumberFormat="1" applyFont="1" applyFill="1" applyBorder="1" applyAlignment="1" applyProtection="1">
      <alignment horizontal="left" vertical="center" wrapText="1"/>
      <protection hidden="1"/>
    </xf>
    <xf numFmtId="1" fontId="275" fillId="68" borderId="235" xfId="1024" applyNumberFormat="1" applyFont="1" applyFill="1" applyBorder="1" applyAlignment="1" applyProtection="1">
      <alignment horizontal="center" vertical="center"/>
      <protection hidden="1"/>
    </xf>
    <xf numFmtId="0" fontId="275" fillId="0" borderId="0" xfId="999" applyFont="1" applyBorder="1" applyAlignment="1" applyProtection="1">
      <alignment vertical="center"/>
      <protection locked="0"/>
    </xf>
    <xf numFmtId="1" fontId="275" fillId="69" borderId="227" xfId="1024" applyNumberFormat="1" applyFont="1" applyFill="1" applyBorder="1" applyAlignment="1" applyProtection="1">
      <alignment horizontal="center" vertical="center"/>
      <protection locked="0"/>
    </xf>
    <xf numFmtId="245" fontId="275" fillId="60" borderId="58" xfId="1024" applyNumberFormat="1" applyFont="1" applyFill="1" applyBorder="1" applyAlignment="1" applyProtection="1">
      <alignment horizontal="center" vertical="center"/>
      <protection locked="0"/>
    </xf>
    <xf numFmtId="1" fontId="275" fillId="60" borderId="58" xfId="1024" applyNumberFormat="1" applyFont="1" applyFill="1" applyBorder="1" applyAlignment="1" applyProtection="1">
      <alignment horizontal="center" vertical="center"/>
      <protection locked="0"/>
    </xf>
    <xf numFmtId="1" fontId="275" fillId="69" borderId="237" xfId="1024" applyNumberFormat="1" applyFont="1" applyFill="1" applyBorder="1" applyAlignment="1" applyProtection="1">
      <alignment horizontal="center" vertical="center"/>
      <protection hidden="1"/>
    </xf>
    <xf numFmtId="1" fontId="275" fillId="69" borderId="238" xfId="1024" applyNumberFormat="1" applyFont="1" applyFill="1" applyBorder="1" applyAlignment="1" applyProtection="1">
      <alignment horizontal="center" vertical="center"/>
      <protection hidden="1"/>
    </xf>
    <xf numFmtId="2" fontId="274" fillId="65" borderId="227" xfId="1024" applyNumberFormat="1" applyFont="1" applyFill="1" applyBorder="1" applyAlignment="1" applyProtection="1">
      <alignment horizontal="center" vertical="center" wrapText="1"/>
      <protection hidden="1"/>
    </xf>
    <xf numFmtId="1" fontId="274" fillId="66" borderId="239" xfId="1024" applyNumberFormat="1" applyFont="1" applyFill="1" applyBorder="1" applyAlignment="1" applyProtection="1">
      <alignment horizontal="center" vertical="center"/>
      <protection hidden="1"/>
    </xf>
    <xf numFmtId="1" fontId="274" fillId="66" borderId="233" xfId="1024" applyNumberFormat="1" applyFont="1" applyFill="1" applyBorder="1" applyAlignment="1" applyProtection="1">
      <alignment horizontal="center" vertical="center"/>
      <protection hidden="1"/>
    </xf>
    <xf numFmtId="1" fontId="274" fillId="66" borderId="234" xfId="1024" applyNumberFormat="1" applyFont="1" applyFill="1" applyBorder="1" applyAlignment="1" applyProtection="1">
      <alignment horizontal="center" vertical="center"/>
      <protection hidden="1"/>
    </xf>
    <xf numFmtId="1" fontId="275" fillId="0" borderId="240" xfId="1024" applyNumberFormat="1" applyFont="1" applyBorder="1" applyAlignment="1" applyProtection="1">
      <alignment horizontal="center" vertical="center"/>
      <protection locked="0"/>
    </xf>
    <xf numFmtId="1" fontId="275" fillId="0" borderId="235" xfId="1024" applyNumberFormat="1" applyFont="1" applyBorder="1" applyAlignment="1" applyProtection="1">
      <alignment horizontal="center" vertical="center"/>
      <protection locked="0"/>
    </xf>
    <xf numFmtId="1" fontId="275" fillId="0" borderId="241" xfId="1024" applyNumberFormat="1" applyFont="1" applyBorder="1" applyAlignment="1" applyProtection="1">
      <alignment horizontal="center" vertical="center"/>
      <protection locked="0"/>
    </xf>
    <xf numFmtId="1" fontId="275" fillId="0" borderId="242" xfId="1024" applyNumberFormat="1" applyFont="1" applyBorder="1" applyAlignment="1" applyProtection="1">
      <alignment horizontal="center" vertical="center"/>
      <protection hidden="1"/>
    </xf>
    <xf numFmtId="1" fontId="275" fillId="0" borderId="243" xfId="1024" applyNumberFormat="1" applyFont="1" applyBorder="1" applyAlignment="1" applyProtection="1">
      <alignment horizontal="center" vertical="center"/>
      <protection locked="0"/>
    </xf>
    <xf numFmtId="2" fontId="274" fillId="61" borderId="60" xfId="1024" applyNumberFormat="1" applyFont="1" applyFill="1" applyBorder="1" applyAlignment="1" applyProtection="1">
      <alignment horizontal="center" vertical="center"/>
      <protection locked="0"/>
    </xf>
    <xf numFmtId="1" fontId="275" fillId="0" borderId="210" xfId="1024" applyNumberFormat="1" applyFont="1" applyBorder="1" applyAlignment="1" applyProtection="1">
      <alignment horizontal="center" vertical="center"/>
      <protection hidden="1"/>
    </xf>
    <xf numFmtId="1" fontId="275" fillId="0" borderId="231" xfId="1024" applyNumberFormat="1" applyFont="1" applyBorder="1" applyAlignment="1" applyProtection="1">
      <alignment horizontal="center" vertical="center"/>
      <protection locked="0"/>
    </xf>
    <xf numFmtId="1" fontId="275" fillId="0" borderId="205" xfId="1024" applyNumberFormat="1" applyFont="1" applyBorder="1" applyAlignment="1" applyProtection="1">
      <alignment horizontal="center" vertical="center"/>
      <protection locked="0"/>
    </xf>
    <xf numFmtId="1" fontId="275" fillId="0" borderId="244" xfId="1024" applyNumberFormat="1" applyFont="1" applyBorder="1" applyAlignment="1" applyProtection="1">
      <alignment horizontal="center" vertical="center"/>
      <protection locked="0"/>
    </xf>
    <xf numFmtId="1" fontId="275" fillId="0" borderId="245" xfId="1024" applyNumberFormat="1" applyFont="1" applyBorder="1" applyAlignment="1" applyProtection="1">
      <alignment horizontal="center" vertical="center"/>
      <protection locked="0"/>
    </xf>
    <xf numFmtId="2" fontId="275" fillId="0" borderId="0" xfId="1024" applyNumberFormat="1" applyFont="1" applyFill="1" applyBorder="1" applyAlignment="1" applyProtection="1">
      <alignment horizontal="left" vertical="center" wrapText="1"/>
      <protection hidden="1"/>
    </xf>
    <xf numFmtId="1" fontId="275" fillId="0" borderId="0" xfId="1024" applyNumberFormat="1" applyFont="1" applyFill="1" applyBorder="1" applyAlignment="1" applyProtection="1">
      <alignment horizontal="center" vertical="center"/>
      <protection hidden="1"/>
    </xf>
    <xf numFmtId="245" fontId="275" fillId="0" borderId="0" xfId="1024" applyNumberFormat="1" applyFont="1" applyFill="1" applyBorder="1" applyAlignment="1" applyProtection="1">
      <alignment horizontal="center" vertical="center"/>
      <protection hidden="1"/>
    </xf>
    <xf numFmtId="1" fontId="275" fillId="0" borderId="231" xfId="1024" applyNumberFormat="1" applyFont="1" applyFill="1" applyBorder="1" applyAlignment="1" applyProtection="1">
      <alignment horizontal="center" vertical="center"/>
      <protection hidden="1"/>
    </xf>
    <xf numFmtId="1" fontId="275" fillId="0" borderId="220" xfId="1024" applyNumberFormat="1" applyFont="1" applyFill="1" applyBorder="1" applyAlignment="1" applyProtection="1">
      <alignment horizontal="center" vertical="center"/>
      <protection hidden="1"/>
    </xf>
    <xf numFmtId="1" fontId="275" fillId="0" borderId="221" xfId="1024" applyNumberFormat="1" applyFont="1" applyFill="1" applyBorder="1" applyAlignment="1" applyProtection="1">
      <alignment horizontal="center" vertical="center"/>
      <protection hidden="1"/>
    </xf>
    <xf numFmtId="2" fontId="275" fillId="0" borderId="0" xfId="1024" applyNumberFormat="1" applyFont="1" applyFill="1" applyBorder="1" applyAlignment="1" applyProtection="1">
      <alignment vertical="center"/>
      <protection hidden="1"/>
    </xf>
    <xf numFmtId="0" fontId="275" fillId="68" borderId="245" xfId="999" applyFont="1" applyFill="1" applyBorder="1" applyAlignment="1" applyProtection="1">
      <alignment vertical="center" wrapText="1"/>
      <protection hidden="1"/>
    </xf>
    <xf numFmtId="1" fontId="275" fillId="68" borderId="245" xfId="999" applyNumberFormat="1" applyFont="1" applyFill="1" applyBorder="1" applyAlignment="1" applyProtection="1">
      <alignment horizontal="center" vertical="center"/>
      <protection locked="0"/>
    </xf>
    <xf numFmtId="1" fontId="275" fillId="68" borderId="95" xfId="999" applyNumberFormat="1" applyFont="1" applyFill="1" applyBorder="1" applyAlignment="1" applyProtection="1">
      <alignment horizontal="center" vertical="center"/>
      <protection locked="0"/>
    </xf>
    <xf numFmtId="245" fontId="275" fillId="2" borderId="37" xfId="999" applyNumberFormat="1" applyFont="1" applyFill="1" applyBorder="1" applyAlignment="1" applyProtection="1">
      <alignment horizontal="center" vertical="center"/>
      <protection locked="0"/>
    </xf>
    <xf numFmtId="2" fontId="275" fillId="2" borderId="37" xfId="999" applyNumberFormat="1" applyFont="1" applyFill="1" applyBorder="1" applyAlignment="1" applyProtection="1">
      <alignment horizontal="center" vertical="center"/>
      <protection locked="0"/>
    </xf>
    <xf numFmtId="1" fontId="275" fillId="68" borderId="210" xfId="999" applyNumberFormat="1" applyFont="1" applyFill="1" applyBorder="1" applyAlignment="1" applyProtection="1">
      <alignment horizontal="center" vertical="center"/>
      <protection hidden="1"/>
    </xf>
    <xf numFmtId="1" fontId="275" fillId="68" borderId="94" xfId="999" applyNumberFormat="1" applyFont="1" applyFill="1" applyBorder="1" applyAlignment="1" applyProtection="1">
      <alignment horizontal="center" vertical="center"/>
      <protection hidden="1"/>
    </xf>
    <xf numFmtId="1" fontId="274" fillId="68" borderId="211" xfId="999" applyNumberFormat="1" applyFont="1" applyFill="1" applyBorder="1" applyAlignment="1" applyProtection="1">
      <alignment horizontal="center" vertical="center"/>
      <protection hidden="1"/>
    </xf>
    <xf numFmtId="2" fontId="275" fillId="69" borderId="94" xfId="1024" applyNumberFormat="1" applyFont="1" applyFill="1" applyBorder="1" applyAlignment="1" applyProtection="1">
      <alignment horizontal="left" vertical="center" wrapText="1"/>
      <protection hidden="1"/>
    </xf>
    <xf numFmtId="1" fontId="275" fillId="69" borderId="0" xfId="1024" applyNumberFormat="1" applyFont="1" applyFill="1" applyBorder="1" applyAlignment="1" applyProtection="1">
      <alignment horizontal="center" vertical="center"/>
      <protection locked="0"/>
    </xf>
    <xf numFmtId="245" fontId="275" fillId="60" borderId="0" xfId="1024" applyNumberFormat="1" applyFont="1" applyFill="1" applyBorder="1" applyAlignment="1" applyProtection="1">
      <alignment horizontal="center" vertical="center"/>
      <protection locked="0"/>
    </xf>
    <xf numFmtId="1" fontId="275" fillId="60" borderId="0" xfId="1024" applyNumberFormat="1" applyFont="1" applyFill="1" applyBorder="1" applyAlignment="1" applyProtection="1">
      <alignment horizontal="center" vertical="center"/>
      <protection locked="0"/>
    </xf>
    <xf numFmtId="1" fontId="275" fillId="69" borderId="210" xfId="1024" applyNumberFormat="1" applyFont="1" applyFill="1" applyBorder="1" applyAlignment="1" applyProtection="1">
      <alignment horizontal="center" vertical="center"/>
      <protection hidden="1"/>
    </xf>
    <xf numFmtId="1" fontId="275" fillId="69" borderId="94" xfId="1024" applyNumberFormat="1" applyFont="1" applyFill="1" applyBorder="1" applyAlignment="1" applyProtection="1">
      <alignment horizontal="center" vertical="center"/>
      <protection hidden="1"/>
    </xf>
    <xf numFmtId="1" fontId="275" fillId="69" borderId="211" xfId="1024" applyNumberFormat="1" applyFont="1" applyFill="1" applyBorder="1" applyAlignment="1" applyProtection="1">
      <alignment horizontal="center" vertical="center"/>
      <protection hidden="1"/>
    </xf>
    <xf numFmtId="0" fontId="275" fillId="67" borderId="94" xfId="999" applyFont="1" applyFill="1" applyBorder="1" applyAlignment="1" applyProtection="1">
      <alignment vertical="center" wrapText="1"/>
      <protection hidden="1"/>
    </xf>
    <xf numFmtId="1" fontId="275" fillId="67" borderId="94" xfId="999" applyNumberFormat="1" applyFont="1" applyFill="1" applyBorder="1" applyAlignment="1" applyProtection="1">
      <alignment horizontal="center" vertical="center"/>
      <protection hidden="1"/>
    </xf>
    <xf numFmtId="245" fontId="275" fillId="46" borderId="2" xfId="999" applyNumberFormat="1" applyFont="1" applyFill="1" applyBorder="1" applyAlignment="1" applyProtection="1">
      <alignment horizontal="center" vertical="center"/>
      <protection hidden="1"/>
    </xf>
    <xf numFmtId="2" fontId="275" fillId="46" borderId="8" xfId="999" applyNumberFormat="1" applyFont="1" applyFill="1" applyBorder="1" applyAlignment="1" applyProtection="1">
      <alignment horizontal="center" vertical="center"/>
      <protection hidden="1"/>
    </xf>
    <xf numFmtId="1" fontId="275" fillId="67" borderId="201" xfId="999" applyNumberFormat="1" applyFont="1" applyFill="1" applyBorder="1" applyAlignment="1" applyProtection="1">
      <alignment horizontal="center" vertical="center"/>
      <protection hidden="1"/>
    </xf>
    <xf numFmtId="1" fontId="275" fillId="67" borderId="202" xfId="999" applyNumberFormat="1" applyFont="1" applyFill="1" applyBorder="1" applyAlignment="1" applyProtection="1">
      <alignment horizontal="center" vertical="center"/>
      <protection hidden="1"/>
    </xf>
    <xf numFmtId="1" fontId="274" fillId="67" borderId="203" xfId="999" applyNumberFormat="1" applyFont="1" applyFill="1" applyBorder="1" applyAlignment="1" applyProtection="1">
      <alignment horizontal="center" vertical="center"/>
      <protection hidden="1"/>
    </xf>
    <xf numFmtId="16" fontId="275" fillId="0" borderId="0" xfId="999" applyNumberFormat="1" applyFont="1" applyFill="1" applyBorder="1" applyAlignment="1" applyProtection="1">
      <alignment vertical="center" wrapText="1"/>
      <protection hidden="1"/>
    </xf>
    <xf numFmtId="1" fontId="275" fillId="0" borderId="0" xfId="999" applyNumberFormat="1" applyFont="1" applyFill="1" applyBorder="1" applyAlignment="1" applyProtection="1">
      <alignment vertical="center"/>
      <protection hidden="1"/>
    </xf>
    <xf numFmtId="245" fontId="275" fillId="0" borderId="0" xfId="999" applyNumberFormat="1" applyFont="1" applyFill="1" applyBorder="1" applyAlignment="1" applyProtection="1">
      <alignment vertical="center"/>
      <protection hidden="1"/>
    </xf>
    <xf numFmtId="2" fontId="275" fillId="0" borderId="0" xfId="999" applyNumberFormat="1" applyFont="1" applyFill="1" applyBorder="1" applyAlignment="1" applyProtection="1">
      <alignment horizontal="right" vertical="center"/>
      <protection hidden="1"/>
    </xf>
    <xf numFmtId="1" fontId="274" fillId="0" borderId="0" xfId="999" applyNumberFormat="1" applyFont="1" applyFill="1" applyBorder="1" applyAlignment="1" applyProtection="1">
      <alignment vertical="center"/>
      <protection hidden="1"/>
    </xf>
    <xf numFmtId="0" fontId="275" fillId="0" borderId="0" xfId="999" applyFont="1" applyFill="1" applyBorder="1" applyAlignment="1" applyProtection="1">
      <alignment vertical="center"/>
      <protection locked="0"/>
    </xf>
    <xf numFmtId="0" fontId="275" fillId="0" borderId="0" xfId="999" applyFont="1" applyFill="1" applyBorder="1" applyAlignment="1" applyProtection="1">
      <alignment vertical="center" wrapText="1"/>
      <protection hidden="1"/>
    </xf>
    <xf numFmtId="2" fontId="275" fillId="0" borderId="0" xfId="999" applyNumberFormat="1" applyFont="1" applyFill="1" applyBorder="1" applyAlignment="1" applyProtection="1">
      <alignment vertical="center"/>
      <protection hidden="1"/>
    </xf>
    <xf numFmtId="0" fontId="275" fillId="0" borderId="0" xfId="999" applyFont="1" applyAlignment="1" applyProtection="1">
      <alignment vertical="center" wrapText="1"/>
      <protection hidden="1"/>
    </xf>
    <xf numFmtId="1" fontId="275" fillId="0" borderId="0" xfId="999" applyNumberFormat="1" applyFont="1" applyAlignment="1" applyProtection="1">
      <alignment vertical="center"/>
      <protection locked="0"/>
    </xf>
    <xf numFmtId="245" fontId="275" fillId="0" borderId="0" xfId="999" applyNumberFormat="1" applyFont="1" applyAlignment="1" applyProtection="1">
      <alignment vertical="center"/>
      <protection locked="0"/>
    </xf>
    <xf numFmtId="0" fontId="275" fillId="0" borderId="0" xfId="999" applyFont="1" applyAlignment="1" applyProtection="1">
      <alignment vertical="center"/>
      <protection locked="0"/>
    </xf>
    <xf numFmtId="1" fontId="274" fillId="0" borderId="0" xfId="999" applyNumberFormat="1" applyFont="1" applyAlignment="1" applyProtection="1">
      <alignment vertical="center"/>
      <protection locked="0"/>
    </xf>
    <xf numFmtId="245" fontId="275" fillId="0" borderId="197" xfId="999" applyNumberFormat="1" applyFont="1" applyBorder="1" applyAlignment="1" applyProtection="1">
      <alignment horizontal="center" vertical="center" wrapText="1"/>
      <protection locked="0"/>
    </xf>
    <xf numFmtId="0" fontId="275" fillId="0" borderId="199" xfId="999" applyFont="1" applyBorder="1" applyAlignment="1" applyProtection="1">
      <alignment horizontal="center" vertical="center" wrapText="1"/>
      <protection locked="0"/>
    </xf>
    <xf numFmtId="0" fontId="275" fillId="0" borderId="0" xfId="999" applyFont="1" applyBorder="1" applyAlignment="1" applyProtection="1">
      <alignment horizontal="center" vertical="center" wrapText="1"/>
      <protection locked="0"/>
    </xf>
    <xf numFmtId="245" fontId="275" fillId="0" borderId="197" xfId="999" applyNumberFormat="1" applyFont="1" applyBorder="1" applyAlignment="1" applyProtection="1">
      <alignment vertical="center"/>
      <protection locked="0"/>
    </xf>
    <xf numFmtId="0" fontId="275" fillId="0" borderId="199" xfId="999" applyFont="1" applyBorder="1" applyAlignment="1" applyProtection="1">
      <alignment vertical="center"/>
      <protection locked="0"/>
    </xf>
    <xf numFmtId="181" fontId="275" fillId="0" borderId="199" xfId="999" applyNumberFormat="1" applyFont="1" applyBorder="1" applyAlignment="1" applyProtection="1">
      <alignment vertical="center"/>
      <protection locked="0"/>
    </xf>
    <xf numFmtId="1" fontId="275" fillId="0" borderId="17" xfId="999" applyNumberFormat="1" applyFont="1" applyBorder="1" applyAlignment="1" applyProtection="1">
      <alignment vertical="center"/>
      <protection locked="0"/>
    </xf>
    <xf numFmtId="181" fontId="275" fillId="0" borderId="17" xfId="999" applyNumberFormat="1" applyFont="1" applyBorder="1" applyAlignment="1" applyProtection="1">
      <alignment vertical="center"/>
      <protection locked="0"/>
    </xf>
    <xf numFmtId="1" fontId="275" fillId="0" borderId="199" xfId="999" applyNumberFormat="1" applyFont="1" applyBorder="1" applyAlignment="1" applyProtection="1">
      <alignment vertical="center"/>
      <protection locked="0"/>
    </xf>
    <xf numFmtId="245" fontId="275" fillId="0" borderId="210" xfId="999" applyNumberFormat="1" applyFont="1" applyBorder="1" applyAlignment="1" applyProtection="1">
      <alignment vertical="center"/>
      <protection locked="0"/>
    </xf>
    <xf numFmtId="0" fontId="275" fillId="0" borderId="94" xfId="999" applyFont="1" applyBorder="1" applyAlignment="1" applyProtection="1">
      <alignment vertical="center"/>
      <protection locked="0"/>
    </xf>
    <xf numFmtId="181" fontId="275" fillId="0" borderId="94" xfId="999" applyNumberFormat="1" applyFont="1" applyBorder="1" applyAlignment="1" applyProtection="1">
      <alignment vertical="center"/>
      <protection locked="0"/>
    </xf>
    <xf numFmtId="1" fontId="275" fillId="0" borderId="2" xfId="999" applyNumberFormat="1" applyFont="1" applyBorder="1" applyAlignment="1" applyProtection="1">
      <alignment vertical="center"/>
      <protection locked="0"/>
    </xf>
    <xf numFmtId="181" fontId="275" fillId="0" borderId="2" xfId="999" applyNumberFormat="1" applyFont="1" applyBorder="1" applyAlignment="1" applyProtection="1">
      <alignment vertical="center"/>
      <protection locked="0"/>
    </xf>
    <xf numFmtId="1" fontId="275" fillId="0" borderId="94" xfId="999" applyNumberFormat="1" applyFont="1" applyBorder="1" applyAlignment="1" applyProtection="1">
      <alignment vertical="center"/>
      <protection locked="0"/>
    </xf>
    <xf numFmtId="245" fontId="275" fillId="0" borderId="201" xfId="999" applyNumberFormat="1" applyFont="1" applyBorder="1" applyAlignment="1" applyProtection="1">
      <alignment vertical="center"/>
      <protection locked="0"/>
    </xf>
    <xf numFmtId="0" fontId="275" fillId="0" borderId="202" xfId="999" applyFont="1" applyBorder="1" applyAlignment="1" applyProtection="1">
      <alignment vertical="center"/>
      <protection locked="0"/>
    </xf>
    <xf numFmtId="181" fontId="275" fillId="0" borderId="202" xfId="999" applyNumberFormat="1" applyFont="1" applyBorder="1" applyAlignment="1" applyProtection="1">
      <alignment vertical="center"/>
      <protection locked="0"/>
    </xf>
    <xf numFmtId="1" fontId="275" fillId="0" borderId="3" xfId="999" applyNumberFormat="1" applyFont="1" applyBorder="1" applyAlignment="1" applyProtection="1">
      <alignment vertical="center"/>
      <protection locked="0"/>
    </xf>
    <xf numFmtId="181" fontId="275" fillId="0" borderId="3" xfId="999" applyNumberFormat="1" applyFont="1" applyBorder="1" applyAlignment="1" applyProtection="1">
      <alignment vertical="center"/>
      <protection locked="0"/>
    </xf>
    <xf numFmtId="1" fontId="275" fillId="0" borderId="202" xfId="999" applyNumberFormat="1" applyFont="1" applyBorder="1" applyAlignment="1" applyProtection="1">
      <alignment vertical="center"/>
      <protection locked="0"/>
    </xf>
    <xf numFmtId="0" fontId="274" fillId="0" borderId="94" xfId="999" applyFont="1" applyBorder="1" applyAlignment="1" applyProtection="1">
      <alignment vertical="center"/>
      <protection locked="0"/>
    </xf>
    <xf numFmtId="181" fontId="274" fillId="0" borderId="94" xfId="999" applyNumberFormat="1" applyFont="1" applyBorder="1" applyAlignment="1" applyProtection="1">
      <alignment vertical="center"/>
      <protection locked="0"/>
    </xf>
    <xf numFmtId="0" fontId="274" fillId="0" borderId="2" xfId="999" applyFont="1" applyBorder="1" applyAlignment="1" applyProtection="1">
      <alignment vertical="center"/>
      <protection locked="0"/>
    </xf>
    <xf numFmtId="9" fontId="275" fillId="0" borderId="0" xfId="1091" applyFont="1" applyAlignment="1" applyProtection="1">
      <alignment vertical="center"/>
      <protection locked="0"/>
    </xf>
    <xf numFmtId="181" fontId="274" fillId="0" borderId="0" xfId="999" applyNumberFormat="1" applyFont="1" applyAlignment="1" applyProtection="1">
      <alignment vertical="center"/>
      <protection locked="0"/>
    </xf>
    <xf numFmtId="1" fontId="275" fillId="0" borderId="0" xfId="999" applyNumberFormat="1" applyFont="1" applyBorder="1" applyAlignment="1" applyProtection="1">
      <alignment vertical="center"/>
      <protection locked="0"/>
    </xf>
    <xf numFmtId="3" fontId="272" fillId="0" borderId="2" xfId="1062" applyNumberFormat="1" applyFont="1" applyBorder="1" applyAlignment="1">
      <alignment horizontal="center" vertical="center"/>
    </xf>
    <xf numFmtId="3" fontId="276" fillId="0" borderId="2" xfId="1062" applyNumberFormat="1" applyFont="1" applyBorder="1" applyAlignment="1">
      <alignment horizontal="center" vertical="center"/>
    </xf>
    <xf numFmtId="167" fontId="276" fillId="0" borderId="2" xfId="1062" applyNumberFormat="1" applyFont="1" applyBorder="1" applyAlignment="1">
      <alignment horizontal="center" vertical="center"/>
    </xf>
    <xf numFmtId="0" fontId="24" fillId="3" borderId="8" xfId="0" applyFont="1" applyFill="1" applyBorder="1" applyAlignment="1">
      <alignment horizontal="center" vertical="top" wrapText="1"/>
    </xf>
    <xf numFmtId="0" fontId="35" fillId="0" borderId="71" xfId="0" applyFont="1" applyFill="1" applyBorder="1" applyAlignment="1">
      <alignment horizontal="center" vertical="center" wrapText="1"/>
    </xf>
    <xf numFmtId="3" fontId="267" fillId="0" borderId="17" xfId="0" applyNumberFormat="1" applyFont="1" applyBorder="1" applyAlignment="1">
      <alignment horizontal="center" vertical="top" wrapText="1"/>
    </xf>
    <xf numFmtId="3" fontId="267" fillId="0" borderId="0" xfId="0" applyNumberFormat="1" applyFont="1" applyFill="1" applyBorder="1" applyAlignment="1">
      <alignment horizontal="center" vertical="top" wrapText="1"/>
    </xf>
    <xf numFmtId="3" fontId="42" fillId="0" borderId="0" xfId="0" applyNumberFormat="1" applyFont="1" applyFill="1" applyBorder="1" applyAlignment="1">
      <alignment horizontal="center" vertical="top" wrapText="1"/>
    </xf>
    <xf numFmtId="4" fontId="42" fillId="0" borderId="0" xfId="0" applyNumberFormat="1" applyFont="1" applyFill="1" applyBorder="1" applyAlignment="1">
      <alignment horizontal="center" vertical="top" wrapText="1"/>
    </xf>
    <xf numFmtId="0" fontId="3" fillId="4" borderId="0" xfId="0" applyFont="1" applyFill="1" applyBorder="1" applyAlignment="1">
      <alignment horizontal="center" vertical="top"/>
    </xf>
    <xf numFmtId="4" fontId="2" fillId="7" borderId="8" xfId="0" applyNumberFormat="1" applyFont="1" applyFill="1" applyBorder="1" applyAlignment="1">
      <alignment horizontal="center" vertical="top" wrapText="1"/>
    </xf>
    <xf numFmtId="4" fontId="34" fillId="0" borderId="8" xfId="0" applyNumberFormat="1" applyFont="1" applyBorder="1" applyAlignment="1">
      <alignment horizontal="center" vertical="top" wrapText="1"/>
    </xf>
    <xf numFmtId="4" fontId="35" fillId="0" borderId="8" xfId="0" applyNumberFormat="1" applyFont="1" applyBorder="1" applyAlignment="1">
      <alignment horizontal="center" vertical="top" wrapText="1"/>
    </xf>
    <xf numFmtId="0" fontId="23" fillId="7" borderId="112" xfId="0" applyFont="1" applyFill="1" applyBorder="1" applyAlignment="1">
      <alignment vertical="top" wrapText="1"/>
    </xf>
    <xf numFmtId="4" fontId="2" fillId="7" borderId="33" xfId="0" applyNumberFormat="1" applyFont="1" applyFill="1" applyBorder="1" applyAlignment="1">
      <alignment horizontal="center" vertical="top" wrapText="1"/>
    </xf>
    <xf numFmtId="4" fontId="2" fillId="7" borderId="35" xfId="0" applyNumberFormat="1" applyFont="1" applyFill="1" applyBorder="1" applyAlignment="1">
      <alignment horizontal="center" vertical="top" wrapText="1"/>
    </xf>
    <xf numFmtId="4" fontId="2" fillId="7" borderId="113" xfId="0" applyNumberFormat="1" applyFont="1" applyFill="1" applyBorder="1" applyAlignment="1">
      <alignment horizontal="center" vertical="top" wrapText="1"/>
    </xf>
    <xf numFmtId="3" fontId="23" fillId="7" borderId="112" xfId="0" applyNumberFormat="1" applyFont="1" applyFill="1" applyBorder="1" applyAlignment="1">
      <alignment vertical="top" wrapText="1"/>
    </xf>
    <xf numFmtId="0" fontId="3" fillId="2" borderId="114" xfId="0" applyFont="1" applyFill="1" applyBorder="1" applyAlignment="1">
      <alignment vertical="center" wrapText="1"/>
    </xf>
    <xf numFmtId="4" fontId="3" fillId="2" borderId="115" xfId="0" applyNumberFormat="1" applyFont="1" applyFill="1" applyBorder="1" applyAlignment="1">
      <alignment horizontal="center" vertical="center" wrapText="1"/>
    </xf>
    <xf numFmtId="4" fontId="3" fillId="2" borderId="116"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1" xfId="0" applyFont="1" applyBorder="1" applyAlignment="1">
      <alignment horizontal="center" vertical="center" wrapText="1"/>
    </xf>
    <xf numFmtId="0" fontId="13" fillId="0" borderId="112" xfId="0" applyFont="1" applyBorder="1" applyAlignment="1">
      <alignment vertical="top" wrapText="1"/>
    </xf>
    <xf numFmtId="4" fontId="34" fillId="0" borderId="33" xfId="2" applyNumberFormat="1" applyFont="1" applyBorder="1" applyAlignment="1">
      <alignment horizontal="center" vertical="top" wrapText="1"/>
    </xf>
    <xf numFmtId="3" fontId="47" fillId="0" borderId="0" xfId="1023" applyNumberFormat="1" applyFont="1" applyFill="1" applyAlignment="1" applyProtection="1">
      <alignment horizontal="center" vertical="center"/>
      <protection locked="0"/>
    </xf>
    <xf numFmtId="3" fontId="47" fillId="0" borderId="0" xfId="1023" applyNumberFormat="1" applyFont="1" applyFill="1" applyAlignment="1" applyProtection="1">
      <alignment horizontal="right" vertical="center"/>
      <protection locked="0"/>
    </xf>
    <xf numFmtId="49" fontId="47" fillId="0" borderId="0" xfId="1023" applyNumberFormat="1" applyFont="1" applyFill="1" applyBorder="1" applyAlignment="1" applyProtection="1">
      <alignment horizontal="center" vertical="center" textRotation="90" wrapText="1"/>
      <protection locked="0"/>
    </xf>
    <xf numFmtId="49" fontId="47" fillId="0" borderId="0" xfId="1023" applyNumberFormat="1" applyFont="1" applyFill="1" applyBorder="1" applyAlignment="1" applyProtection="1">
      <alignment horizontal="center" vertical="center"/>
      <protection locked="0"/>
    </xf>
    <xf numFmtId="0" fontId="265" fillId="0" borderId="0" xfId="1023" applyFont="1" applyFill="1" applyBorder="1" applyAlignment="1" applyProtection="1">
      <alignment horizontal="center" vertical="center"/>
      <protection locked="0"/>
    </xf>
    <xf numFmtId="3" fontId="47" fillId="0" borderId="0" xfId="1023" applyNumberFormat="1" applyFont="1" applyFill="1" applyBorder="1" applyAlignment="1" applyProtection="1">
      <alignment horizontal="right" vertical="center"/>
      <protection hidden="1"/>
    </xf>
    <xf numFmtId="181" fontId="47" fillId="0" borderId="0" xfId="1023" applyNumberFormat="1" applyFont="1" applyFill="1" applyAlignment="1" applyProtection="1">
      <alignment horizontal="right" vertical="center"/>
      <protection locked="0"/>
    </xf>
    <xf numFmtId="245" fontId="47" fillId="0" borderId="0" xfId="1023" applyNumberFormat="1" applyFont="1" applyFill="1" applyAlignment="1" applyProtection="1">
      <alignment horizontal="center" vertical="center"/>
      <protection locked="0"/>
    </xf>
    <xf numFmtId="1" fontId="47" fillId="0" borderId="0" xfId="1023" applyNumberFormat="1" applyFont="1" applyFill="1" applyAlignment="1" applyProtection="1">
      <alignment horizontal="right" vertical="center"/>
      <protection locked="0"/>
    </xf>
    <xf numFmtId="0" fontId="47" fillId="0" borderId="2" xfId="1061" applyFont="1" applyBorder="1"/>
    <xf numFmtId="0" fontId="47" fillId="0" borderId="2" xfId="1023" applyFont="1" applyBorder="1" applyAlignment="1" applyProtection="1">
      <alignment horizontal="center" vertical="center"/>
      <protection locked="0"/>
    </xf>
    <xf numFmtId="0" fontId="47" fillId="0" borderId="2" xfId="1061" applyFont="1" applyBorder="1" applyAlignment="1">
      <alignment wrapText="1"/>
    </xf>
    <xf numFmtId="0" fontId="47" fillId="0" borderId="2" xfId="1023" applyFont="1" applyBorder="1" applyAlignment="1" applyProtection="1">
      <alignment vertical="center"/>
      <protection locked="0"/>
    </xf>
    <xf numFmtId="0" fontId="265" fillId="0" borderId="2" xfId="1023" applyFont="1" applyBorder="1" applyAlignment="1" applyProtection="1">
      <alignment horizontal="center" vertical="center"/>
      <protection locked="0"/>
    </xf>
    <xf numFmtId="0" fontId="47" fillId="0" borderId="48" xfId="1023" applyFont="1" applyBorder="1" applyAlignment="1" applyProtection="1">
      <alignment vertical="center"/>
      <protection locked="0"/>
    </xf>
    <xf numFmtId="0" fontId="2" fillId="0" borderId="121" xfId="0" applyFont="1" applyBorder="1" applyAlignment="1">
      <alignment horizontal="center" vertical="center" wrapText="1"/>
    </xf>
    <xf numFmtId="4" fontId="34" fillId="0" borderId="113" xfId="2" applyNumberFormat="1" applyFont="1" applyBorder="1" applyAlignment="1">
      <alignment horizontal="center" vertical="top" wrapText="1"/>
    </xf>
    <xf numFmtId="4" fontId="3" fillId="2" borderId="119" xfId="0" applyNumberFormat="1" applyFont="1" applyFill="1" applyBorder="1" applyAlignment="1">
      <alignment horizontal="center" vertical="center" wrapText="1"/>
    </xf>
    <xf numFmtId="4" fontId="278" fillId="0" borderId="2" xfId="0" applyNumberFormat="1" applyFont="1" applyBorder="1" applyAlignment="1">
      <alignment horizontal="center" vertical="top" wrapText="1"/>
    </xf>
    <xf numFmtId="4" fontId="278" fillId="0" borderId="8" xfId="0" applyNumberFormat="1" applyFont="1" applyBorder="1" applyAlignment="1">
      <alignment horizontal="center" vertical="top" wrapText="1"/>
    </xf>
    <xf numFmtId="4" fontId="278" fillId="0" borderId="92" xfId="0" applyNumberFormat="1" applyFont="1" applyBorder="1" applyAlignment="1">
      <alignment horizontal="center" vertical="top" wrapText="1"/>
    </xf>
    <xf numFmtId="0" fontId="24" fillId="0" borderId="0" xfId="0" applyFont="1" applyAlignment="1"/>
    <xf numFmtId="167" fontId="49" fillId="0" borderId="0" xfId="1063" applyNumberFormat="1"/>
    <xf numFmtId="167" fontId="2" fillId="0" borderId="2" xfId="0" applyNumberFormat="1" applyFont="1" applyBorder="1"/>
    <xf numFmtId="3" fontId="49" fillId="0" borderId="0" xfId="1063" applyNumberFormat="1"/>
    <xf numFmtId="0" fontId="43" fillId="0" borderId="0" xfId="1005" applyFont="1"/>
    <xf numFmtId="0" fontId="279" fillId="0" borderId="0" xfId="1005" applyFont="1"/>
    <xf numFmtId="0" fontId="43" fillId="0" borderId="0" xfId="1005" applyFont="1" applyAlignment="1">
      <alignment horizontal="center" vertical="center"/>
    </xf>
    <xf numFmtId="0" fontId="43" fillId="0" borderId="2" xfId="1005" applyFont="1" applyBorder="1" applyAlignment="1">
      <alignment horizontal="center" vertical="center" wrapText="1"/>
    </xf>
    <xf numFmtId="0" fontId="43" fillId="0" borderId="2" xfId="1005" applyFont="1" applyBorder="1" applyAlignment="1">
      <alignment horizontal="center"/>
    </xf>
    <xf numFmtId="167" fontId="43" fillId="0" borderId="2" xfId="1005" applyNumberFormat="1" applyFont="1" applyBorder="1" applyAlignment="1">
      <alignment horizontal="center"/>
    </xf>
    <xf numFmtId="181" fontId="43" fillId="0" borderId="2" xfId="1005" applyNumberFormat="1" applyFont="1" applyBorder="1" applyAlignment="1">
      <alignment horizontal="center"/>
    </xf>
    <xf numFmtId="167" fontId="43" fillId="0" borderId="8" xfId="1005" applyNumberFormat="1" applyFont="1" applyBorder="1" applyAlignment="1">
      <alignment horizontal="center"/>
    </xf>
    <xf numFmtId="0" fontId="24" fillId="0" borderId="109" xfId="1092" applyFont="1" applyBorder="1" applyAlignment="1">
      <alignment horizontal="left"/>
    </xf>
    <xf numFmtId="0" fontId="24" fillId="0" borderId="109" xfId="1092" applyFont="1" applyBorder="1" applyAlignment="1">
      <alignment wrapText="1"/>
    </xf>
    <xf numFmtId="181" fontId="43" fillId="0" borderId="8" xfId="1005" applyNumberFormat="1" applyFont="1" applyBorder="1" applyAlignment="1">
      <alignment horizontal="center"/>
    </xf>
    <xf numFmtId="4" fontId="34" fillId="0" borderId="42" xfId="0" applyNumberFormat="1" applyFont="1" applyBorder="1" applyAlignment="1">
      <alignment horizontal="center" vertical="top" wrapText="1"/>
    </xf>
    <xf numFmtId="4" fontId="34" fillId="0" borderId="42" xfId="2" applyNumberFormat="1" applyFont="1" applyBorder="1" applyAlignment="1">
      <alignment horizontal="center" vertical="top" wrapText="1"/>
    </xf>
    <xf numFmtId="4" fontId="34" fillId="0" borderId="36" xfId="2" applyNumberFormat="1" applyFont="1" applyBorder="1" applyAlignment="1">
      <alignment horizontal="center" vertical="top" wrapText="1"/>
    </xf>
    <xf numFmtId="4" fontId="2" fillId="7" borderId="36" xfId="0" applyNumberFormat="1" applyFont="1" applyFill="1" applyBorder="1" applyAlignment="1">
      <alignment horizontal="center" vertical="top" wrapText="1"/>
    </xf>
    <xf numFmtId="4" fontId="2" fillId="7" borderId="42" xfId="0" applyNumberFormat="1" applyFont="1" applyFill="1" applyBorder="1" applyAlignment="1">
      <alignment horizontal="center" vertical="top" wrapText="1"/>
    </xf>
    <xf numFmtId="4" fontId="3" fillId="2" borderId="195" xfId="0" applyNumberFormat="1" applyFont="1" applyFill="1" applyBorder="1" applyAlignment="1">
      <alignment horizontal="center" vertical="center" wrapText="1"/>
    </xf>
    <xf numFmtId="167" fontId="47" fillId="0" borderId="2" xfId="1023" applyNumberFormat="1" applyFont="1" applyBorder="1" applyAlignment="1" applyProtection="1">
      <alignment horizontal="right" vertical="center"/>
      <protection locked="0"/>
    </xf>
    <xf numFmtId="167" fontId="47" fillId="0" borderId="25" xfId="1023" applyNumberFormat="1" applyFont="1" applyBorder="1" applyAlignment="1" applyProtection="1">
      <alignment horizontal="right" vertical="center"/>
      <protection locked="0"/>
    </xf>
    <xf numFmtId="167" fontId="47" fillId="0" borderId="3" xfId="1023" applyNumberFormat="1" applyFont="1" applyBorder="1" applyAlignment="1" applyProtection="1">
      <alignment horizontal="right" vertical="center"/>
      <protection locked="0"/>
    </xf>
    <xf numFmtId="181" fontId="47" fillId="0" borderId="2" xfId="1023" applyNumberFormat="1" applyFont="1" applyBorder="1" applyAlignment="1" applyProtection="1">
      <alignment horizontal="right" vertical="center"/>
      <protection locked="0"/>
    </xf>
    <xf numFmtId="181" fontId="47" fillId="0" borderId="25" xfId="1023" applyNumberFormat="1" applyFont="1" applyBorder="1" applyAlignment="1" applyProtection="1">
      <alignment horizontal="right" vertical="center"/>
      <protection locked="0"/>
    </xf>
    <xf numFmtId="181" fontId="47" fillId="0" borderId="17" xfId="1023" applyNumberFormat="1" applyFont="1" applyBorder="1" applyAlignment="1" applyProtection="1">
      <alignment horizontal="right" vertical="center"/>
      <protection locked="0"/>
    </xf>
    <xf numFmtId="181" fontId="47" fillId="0" borderId="3" xfId="1023" applyNumberFormat="1" applyFont="1" applyBorder="1" applyAlignment="1" applyProtection="1">
      <alignment horizontal="right" vertical="center"/>
      <protection locked="0"/>
    </xf>
    <xf numFmtId="181" fontId="47" fillId="60" borderId="151" xfId="1023" applyNumberFormat="1" applyFont="1" applyFill="1" applyBorder="1" applyAlignment="1" applyProtection="1">
      <alignment horizontal="right" vertical="center"/>
      <protection hidden="1"/>
    </xf>
    <xf numFmtId="181" fontId="47" fillId="60" borderId="169" xfId="1023" applyNumberFormat="1" applyFont="1" applyFill="1" applyBorder="1" applyAlignment="1" applyProtection="1">
      <alignment horizontal="right" vertical="center"/>
      <protection hidden="1"/>
    </xf>
    <xf numFmtId="181" fontId="47" fillId="5" borderId="2" xfId="1023" applyNumberFormat="1" applyFont="1" applyFill="1" applyBorder="1" applyAlignment="1" applyProtection="1">
      <alignment horizontal="right" vertical="center"/>
      <protection locked="0"/>
    </xf>
    <xf numFmtId="181" fontId="47" fillId="0" borderId="8" xfId="1023" applyNumberFormat="1" applyFont="1" applyBorder="1" applyAlignment="1" applyProtection="1">
      <alignment horizontal="right" vertical="center"/>
      <protection locked="0"/>
    </xf>
    <xf numFmtId="181" fontId="47" fillId="0" borderId="71" xfId="1023" applyNumberFormat="1" applyFont="1" applyBorder="1" applyAlignment="1" applyProtection="1">
      <alignment horizontal="right" vertical="center"/>
      <protection locked="0"/>
    </xf>
    <xf numFmtId="181" fontId="47" fillId="0" borderId="60" xfId="1023" applyNumberFormat="1" applyFont="1" applyBorder="1" applyAlignment="1" applyProtection="1">
      <alignment horizontal="right" vertical="center"/>
      <protection locked="0"/>
    </xf>
    <xf numFmtId="181" fontId="47" fillId="0" borderId="38" xfId="1023" applyNumberFormat="1" applyFont="1" applyBorder="1" applyAlignment="1" applyProtection="1">
      <alignment horizontal="right" vertical="center"/>
      <protection locked="0"/>
    </xf>
    <xf numFmtId="181" fontId="47" fillId="0" borderId="17" xfId="1023" applyNumberFormat="1" applyFont="1" applyBorder="1" applyAlignment="1" applyProtection="1">
      <alignment horizontal="right" vertical="center"/>
      <protection hidden="1"/>
    </xf>
    <xf numFmtId="181" fontId="47" fillId="0" borderId="2" xfId="1023" applyNumberFormat="1" applyFont="1" applyBorder="1" applyAlignment="1" applyProtection="1">
      <alignment horizontal="right" vertical="center"/>
      <protection hidden="1"/>
    </xf>
    <xf numFmtId="181" fontId="47" fillId="0" borderId="25" xfId="1023" applyNumberFormat="1" applyFont="1" applyBorder="1" applyAlignment="1" applyProtection="1">
      <alignment horizontal="right" vertical="center"/>
      <protection hidden="1"/>
    </xf>
    <xf numFmtId="181" fontId="47" fillId="0" borderId="3" xfId="1023" applyNumberFormat="1" applyFont="1" applyBorder="1" applyAlignment="1" applyProtection="1">
      <alignment horizontal="right" vertical="center"/>
      <protection hidden="1"/>
    </xf>
    <xf numFmtId="181" fontId="265" fillId="2" borderId="55" xfId="1023" applyNumberFormat="1" applyFont="1" applyFill="1" applyBorder="1" applyAlignment="1" applyProtection="1">
      <alignment horizontal="center" vertical="center"/>
      <protection locked="0"/>
    </xf>
    <xf numFmtId="181" fontId="47" fillId="2" borderId="60" xfId="1023" applyNumberFormat="1" applyFont="1" applyFill="1" applyBorder="1" applyAlignment="1" applyProtection="1">
      <alignment horizontal="right" vertical="center"/>
      <protection hidden="1"/>
    </xf>
    <xf numFmtId="181" fontId="47" fillId="2" borderId="8" xfId="1023" applyNumberFormat="1" applyFont="1" applyFill="1" applyBorder="1" applyAlignment="1" applyProtection="1">
      <alignment horizontal="right" vertical="center"/>
      <protection hidden="1"/>
    </xf>
    <xf numFmtId="0" fontId="36" fillId="0" borderId="0" xfId="1" applyFont="1" applyAlignment="1" applyProtection="1">
      <alignment horizontal="center" vertical="top" wrapText="1"/>
    </xf>
    <xf numFmtId="0" fontId="2" fillId="0" borderId="2" xfId="0" applyFont="1" applyFill="1" applyBorder="1" applyAlignment="1">
      <alignment vertical="top" wrapText="1"/>
    </xf>
    <xf numFmtId="0" fontId="100" fillId="0" borderId="42" xfId="1023" applyFont="1" applyBorder="1" applyAlignment="1" applyProtection="1">
      <alignment horizontal="center" vertical="center" wrapText="1"/>
      <protection hidden="1"/>
    </xf>
    <xf numFmtId="0" fontId="100" fillId="0" borderId="8" xfId="1023" applyFont="1" applyBorder="1" applyAlignment="1" applyProtection="1">
      <alignment horizontal="center" vertical="center" wrapText="1"/>
      <protection hidden="1"/>
    </xf>
    <xf numFmtId="0" fontId="8" fillId="0" borderId="0" xfId="1061" applyFont="1"/>
    <xf numFmtId="0" fontId="8" fillId="0" borderId="0" xfId="1061" applyFont="1" applyAlignment="1">
      <alignment horizontal="center" vertical="center"/>
    </xf>
    <xf numFmtId="0" fontId="284" fillId="0" borderId="3" xfId="1061" applyFont="1" applyBorder="1" applyAlignment="1">
      <alignment horizontal="center" vertical="center" wrapText="1"/>
    </xf>
    <xf numFmtId="0" fontId="284" fillId="0" borderId="121" xfId="1061" applyFont="1" applyBorder="1" applyAlignment="1">
      <alignment horizontal="center" vertical="top" wrapText="1"/>
    </xf>
    <xf numFmtId="0" fontId="284" fillId="0" borderId="112" xfId="1061" applyFont="1" applyBorder="1" applyAlignment="1">
      <alignment horizontal="center" vertical="center" wrapText="1"/>
    </xf>
    <xf numFmtId="0" fontId="284" fillId="0" borderId="33" xfId="1061" applyFont="1" applyBorder="1" applyAlignment="1">
      <alignment horizontal="center" vertical="top" wrapText="1"/>
    </xf>
    <xf numFmtId="0" fontId="284" fillId="0" borderId="113" xfId="1061" applyFont="1" applyBorder="1" applyAlignment="1">
      <alignment horizontal="center" vertical="top" wrapText="1"/>
    </xf>
    <xf numFmtId="0" fontId="8" fillId="0" borderId="109" xfId="1061" applyFont="1" applyBorder="1" applyAlignment="1">
      <alignment horizontal="center" vertical="center"/>
    </xf>
    <xf numFmtId="0" fontId="285" fillId="0" borderId="2" xfId="1061" applyFont="1" applyBorder="1" applyAlignment="1">
      <alignment wrapText="1"/>
    </xf>
    <xf numFmtId="0" fontId="286" fillId="0" borderId="2" xfId="1061" applyFont="1" applyBorder="1" applyAlignment="1">
      <alignment wrapText="1"/>
    </xf>
    <xf numFmtId="0" fontId="285" fillId="0" borderId="0" xfId="1061" applyFont="1" applyBorder="1" applyAlignment="1">
      <alignment wrapText="1"/>
    </xf>
    <xf numFmtId="0" fontId="8" fillId="0" borderId="2" xfId="1061" applyFont="1" applyBorder="1" applyAlignment="1">
      <alignment horizontal="left" vertical="distributed"/>
    </xf>
    <xf numFmtId="0" fontId="8" fillId="0" borderId="0" xfId="1061" applyFont="1" applyBorder="1" applyAlignment="1">
      <alignment horizontal="center" vertical="center"/>
    </xf>
    <xf numFmtId="0" fontId="8" fillId="0" borderId="0" xfId="1061" applyFont="1" applyBorder="1" applyAlignment="1">
      <alignment horizontal="center" vertical="distributed"/>
    </xf>
    <xf numFmtId="4" fontId="8" fillId="0" borderId="0" xfId="1061" applyNumberFormat="1" applyFont="1" applyBorder="1" applyAlignment="1">
      <alignment horizontal="center" vertical="distributed"/>
    </xf>
    <xf numFmtId="0" fontId="8" fillId="0" borderId="0" xfId="1061" applyFont="1" applyBorder="1"/>
    <xf numFmtId="0" fontId="2" fillId="0" borderId="0" xfId="1096" applyFont="1" applyFill="1" applyAlignment="1">
      <alignment wrapText="1"/>
    </xf>
    <xf numFmtId="0" fontId="2" fillId="0" borderId="0" xfId="1097" applyFont="1" applyFill="1"/>
    <xf numFmtId="3" fontId="2" fillId="0" borderId="0" xfId="1097" applyNumberFormat="1" applyFont="1" applyFill="1" applyAlignment="1">
      <alignment horizontal="left"/>
    </xf>
    <xf numFmtId="0" fontId="3" fillId="0" borderId="0" xfId="1096" applyFont="1" applyAlignment="1">
      <alignment wrapText="1"/>
    </xf>
    <xf numFmtId="0" fontId="2" fillId="0" borderId="0" xfId="1096" applyFont="1" applyAlignment="1">
      <alignment wrapText="1"/>
    </xf>
    <xf numFmtId="167" fontId="2" fillId="0" borderId="256" xfId="1096" applyNumberFormat="1" applyFont="1" applyFill="1" applyBorder="1" applyAlignment="1">
      <alignment horizontal="center" wrapText="1"/>
    </xf>
    <xf numFmtId="167" fontId="2" fillId="0" borderId="258" xfId="1096" applyNumberFormat="1" applyFont="1" applyFill="1" applyBorder="1" applyAlignment="1">
      <alignment horizontal="center" wrapText="1"/>
    </xf>
    <xf numFmtId="167" fontId="2" fillId="0" borderId="260" xfId="1096" applyNumberFormat="1" applyFont="1" applyFill="1" applyBorder="1" applyAlignment="1">
      <alignment horizontal="center" wrapText="1"/>
    </xf>
    <xf numFmtId="167" fontId="2" fillId="0" borderId="33" xfId="1096" applyNumberFormat="1" applyFont="1" applyFill="1" applyBorder="1" applyAlignment="1">
      <alignment horizontal="center" wrapText="1"/>
    </xf>
    <xf numFmtId="167" fontId="2" fillId="2" borderId="33" xfId="1096" applyNumberFormat="1" applyFont="1" applyFill="1" applyBorder="1" applyAlignment="1">
      <alignment horizontal="center" wrapText="1"/>
    </xf>
    <xf numFmtId="167" fontId="2" fillId="0" borderId="2" xfId="1096" applyNumberFormat="1" applyFont="1" applyFill="1" applyBorder="1" applyAlignment="1">
      <alignment horizontal="center" wrapText="1"/>
    </xf>
    <xf numFmtId="167" fontId="2" fillId="2" borderId="2" xfId="1096" applyNumberFormat="1" applyFont="1" applyFill="1" applyBorder="1" applyAlignment="1">
      <alignment horizontal="center" wrapText="1"/>
    </xf>
    <xf numFmtId="167" fontId="3" fillId="0" borderId="2" xfId="1098" applyNumberFormat="1" applyFont="1" applyFill="1" applyBorder="1" applyAlignment="1">
      <alignment horizontal="center" vertical="center"/>
    </xf>
    <xf numFmtId="167" fontId="2" fillId="0" borderId="2" xfId="1096" applyNumberFormat="1" applyFont="1" applyFill="1" applyBorder="1" applyAlignment="1">
      <alignment horizontal="center" vertical="center"/>
    </xf>
    <xf numFmtId="3" fontId="2" fillId="0" borderId="264" xfId="1096" applyNumberFormat="1" applyFont="1" applyFill="1" applyBorder="1" applyAlignment="1">
      <alignment horizontal="center" wrapText="1"/>
    </xf>
    <xf numFmtId="3" fontId="2" fillId="0" borderId="123" xfId="1096" applyNumberFormat="1" applyFont="1" applyFill="1" applyBorder="1" applyAlignment="1">
      <alignment horizontal="center" wrapText="1"/>
    </xf>
    <xf numFmtId="3" fontId="2" fillId="0" borderId="265" xfId="1096" applyNumberFormat="1" applyFont="1" applyFill="1" applyBorder="1" applyAlignment="1">
      <alignment horizontal="center" wrapText="1"/>
    </xf>
    <xf numFmtId="167" fontId="2" fillId="0" borderId="112" xfId="1096" applyNumberFormat="1" applyFont="1" applyFill="1" applyBorder="1" applyAlignment="1">
      <alignment wrapText="1"/>
    </xf>
    <xf numFmtId="167" fontId="3" fillId="0" borderId="113" xfId="1096" applyNumberFormat="1" applyFont="1" applyBorder="1" applyAlignment="1">
      <alignment wrapText="1"/>
    </xf>
    <xf numFmtId="167" fontId="2" fillId="0" borderId="109" xfId="1096" applyNumberFormat="1" applyFont="1" applyFill="1" applyBorder="1" applyAlignment="1">
      <alignment wrapText="1"/>
    </xf>
    <xf numFmtId="167" fontId="3" fillId="0" borderId="92" xfId="1096" applyNumberFormat="1" applyFont="1" applyBorder="1" applyAlignment="1">
      <alignment wrapText="1"/>
    </xf>
    <xf numFmtId="167" fontId="2" fillId="2" borderId="109" xfId="1096" applyNumberFormat="1" applyFont="1" applyFill="1" applyBorder="1" applyAlignment="1">
      <alignment wrapText="1"/>
    </xf>
    <xf numFmtId="167" fontId="3" fillId="2" borderId="92" xfId="1096" applyNumberFormat="1" applyFont="1" applyFill="1" applyBorder="1" applyAlignment="1">
      <alignment wrapText="1"/>
    </xf>
    <xf numFmtId="0" fontId="3" fillId="0" borderId="130" xfId="1096" applyFont="1" applyFill="1" applyBorder="1" applyAlignment="1">
      <alignment horizontal="center" vertical="center" wrapText="1"/>
    </xf>
    <xf numFmtId="0" fontId="3" fillId="0" borderId="131" xfId="1096" applyFont="1" applyFill="1" applyBorder="1" applyAlignment="1">
      <alignment horizontal="center" vertical="center" wrapText="1"/>
    </xf>
    <xf numFmtId="0" fontId="3" fillId="0" borderId="132" xfId="1096" applyFont="1" applyBorder="1" applyAlignment="1">
      <alignment horizontal="center" vertical="center" wrapText="1"/>
    </xf>
    <xf numFmtId="3" fontId="2" fillId="74" borderId="126" xfId="1096" applyNumberFormat="1" applyFont="1" applyFill="1" applyBorder="1" applyAlignment="1">
      <alignment horizontal="center" wrapText="1"/>
    </xf>
    <xf numFmtId="167" fontId="2" fillId="74" borderId="267" xfId="1096" applyNumberFormat="1" applyFont="1" applyFill="1" applyBorder="1" applyAlignment="1">
      <alignment horizontal="center" wrapText="1"/>
    </xf>
    <xf numFmtId="3" fontId="2" fillId="74" borderId="123" xfId="1096" applyNumberFormat="1" applyFont="1" applyFill="1" applyBorder="1" applyAlignment="1">
      <alignment horizontal="center" wrapText="1"/>
    </xf>
    <xf numFmtId="167" fontId="2" fillId="74" borderId="258" xfId="1096" applyNumberFormat="1" applyFont="1" applyFill="1" applyBorder="1" applyAlignment="1">
      <alignment horizontal="center" wrapText="1"/>
    </xf>
    <xf numFmtId="3" fontId="2" fillId="74" borderId="265" xfId="1096" applyNumberFormat="1" applyFont="1" applyFill="1" applyBorder="1" applyAlignment="1">
      <alignment horizontal="center" wrapText="1"/>
    </xf>
    <xf numFmtId="167" fontId="2" fillId="74" borderId="260" xfId="1096" applyNumberFormat="1" applyFont="1" applyFill="1" applyBorder="1" applyAlignment="1">
      <alignment horizontal="center" wrapText="1"/>
    </xf>
    <xf numFmtId="3" fontId="2" fillId="74" borderId="264" xfId="1096" applyNumberFormat="1" applyFont="1" applyFill="1" applyBorder="1" applyAlignment="1">
      <alignment horizontal="center" wrapText="1"/>
    </xf>
    <xf numFmtId="167" fontId="2" fillId="74" borderId="256" xfId="1096" applyNumberFormat="1" applyFont="1" applyFill="1" applyBorder="1" applyAlignment="1">
      <alignment horizontal="center" wrapText="1"/>
    </xf>
    <xf numFmtId="3" fontId="2" fillId="74" borderId="127" xfId="1096" applyNumberFormat="1" applyFont="1" applyFill="1" applyBorder="1" applyAlignment="1">
      <alignment horizontal="center" wrapText="1"/>
    </xf>
    <xf numFmtId="167" fontId="2" fillId="74" borderId="269" xfId="1096" applyNumberFormat="1" applyFont="1" applyFill="1" applyBorder="1" applyAlignment="1">
      <alignment horizontal="center" wrapText="1"/>
    </xf>
    <xf numFmtId="167" fontId="3" fillId="74" borderId="268" xfId="1096" applyNumberFormat="1" applyFont="1" applyFill="1" applyBorder="1" applyAlignment="1">
      <alignment horizontal="center" wrapText="1"/>
    </xf>
    <xf numFmtId="167" fontId="3" fillId="74" borderId="266" xfId="1096" applyNumberFormat="1" applyFont="1" applyFill="1" applyBorder="1" applyAlignment="1">
      <alignment horizontal="center" wrapText="1"/>
    </xf>
    <xf numFmtId="167" fontId="3" fillId="0" borderId="268" xfId="1096" applyNumberFormat="1" applyFont="1" applyFill="1" applyBorder="1" applyAlignment="1">
      <alignment horizontal="center" wrapText="1"/>
    </xf>
    <xf numFmtId="167" fontId="3" fillId="0" borderId="266" xfId="1096" applyNumberFormat="1" applyFont="1" applyFill="1" applyBorder="1" applyAlignment="1">
      <alignment horizontal="center" wrapText="1"/>
    </xf>
    <xf numFmtId="167" fontId="3" fillId="74" borderId="270" xfId="1096" applyNumberFormat="1" applyFont="1" applyFill="1" applyBorder="1" applyAlignment="1">
      <alignment horizontal="center" wrapText="1"/>
    </xf>
    <xf numFmtId="167" fontId="7" fillId="74" borderId="267" xfId="1096" applyNumberFormat="1" applyFont="1" applyFill="1" applyBorder="1" applyAlignment="1">
      <alignment horizontal="center" wrapText="1"/>
    </xf>
    <xf numFmtId="167" fontId="7" fillId="74" borderId="258" xfId="1096" applyNumberFormat="1" applyFont="1" applyFill="1" applyBorder="1" applyAlignment="1">
      <alignment horizontal="center" wrapText="1"/>
    </xf>
    <xf numFmtId="167" fontId="7" fillId="74" borderId="260" xfId="1096" applyNumberFormat="1" applyFont="1" applyFill="1" applyBorder="1" applyAlignment="1">
      <alignment horizontal="center" wrapText="1"/>
    </xf>
    <xf numFmtId="167" fontId="7" fillId="74" borderId="256" xfId="1096" applyNumberFormat="1" applyFont="1" applyFill="1" applyBorder="1" applyAlignment="1">
      <alignment horizontal="center" wrapText="1"/>
    </xf>
    <xf numFmtId="167" fontId="7" fillId="0" borderId="256" xfId="1096" applyNumberFormat="1" applyFont="1" applyFill="1" applyBorder="1" applyAlignment="1">
      <alignment horizontal="center" wrapText="1"/>
    </xf>
    <xf numFmtId="167" fontId="7" fillId="0" borderId="258" xfId="1096" applyNumberFormat="1" applyFont="1" applyFill="1" applyBorder="1" applyAlignment="1">
      <alignment horizontal="center" wrapText="1"/>
    </xf>
    <xf numFmtId="167" fontId="7" fillId="0" borderId="260" xfId="1096" applyNumberFormat="1" applyFont="1" applyFill="1" applyBorder="1" applyAlignment="1">
      <alignment horizontal="center" wrapText="1"/>
    </xf>
    <xf numFmtId="167" fontId="7" fillId="74" borderId="269" xfId="1096" applyNumberFormat="1" applyFont="1" applyFill="1" applyBorder="1" applyAlignment="1">
      <alignment horizontal="center" wrapText="1"/>
    </xf>
    <xf numFmtId="167" fontId="7" fillId="0" borderId="33" xfId="1096" applyNumberFormat="1" applyFont="1" applyFill="1" applyBorder="1" applyAlignment="1">
      <alignment horizontal="center" wrapText="1"/>
    </xf>
    <xf numFmtId="167" fontId="7" fillId="0" borderId="2" xfId="1096" applyNumberFormat="1" applyFont="1" applyFill="1" applyBorder="1" applyAlignment="1">
      <alignment horizontal="center" wrapText="1"/>
    </xf>
    <xf numFmtId="167" fontId="7" fillId="2" borderId="2" xfId="1096" applyNumberFormat="1" applyFont="1" applyFill="1" applyBorder="1" applyAlignment="1">
      <alignment horizontal="center" wrapText="1"/>
    </xf>
    <xf numFmtId="167" fontId="4" fillId="0" borderId="2" xfId="1098" applyNumberFormat="1" applyFont="1" applyFill="1" applyBorder="1" applyAlignment="1">
      <alignment horizontal="center" vertical="center"/>
    </xf>
    <xf numFmtId="167" fontId="3" fillId="63" borderId="115" xfId="1096" applyNumberFormat="1" applyFont="1" applyFill="1" applyBorder="1" applyAlignment="1">
      <alignment horizontal="center" vertical="center" wrapText="1"/>
    </xf>
    <xf numFmtId="167" fontId="4" fillId="63" borderId="115" xfId="1096" applyNumberFormat="1" applyFont="1" applyFill="1" applyBorder="1" applyAlignment="1">
      <alignment horizontal="center" vertical="center" wrapText="1"/>
    </xf>
    <xf numFmtId="167" fontId="3" fillId="63" borderId="119" xfId="1096" applyNumberFormat="1" applyFont="1" applyFill="1" applyBorder="1" applyAlignment="1">
      <alignment horizontal="center" vertical="center" wrapText="1"/>
    </xf>
    <xf numFmtId="2" fontId="2" fillId="0" borderId="2" xfId="1090" applyNumberFormat="1" applyFont="1" applyFill="1" applyBorder="1" applyAlignment="1" applyProtection="1">
      <alignment horizontal="center" vertical="center"/>
    </xf>
    <xf numFmtId="2" fontId="2" fillId="0" borderId="2" xfId="1087" applyNumberFormat="1" applyFont="1" applyBorder="1" applyAlignment="1">
      <alignment horizontal="center" vertical="center"/>
    </xf>
    <xf numFmtId="167" fontId="2" fillId="0" borderId="92" xfId="0" applyNumberFormat="1" applyFont="1" applyBorder="1"/>
    <xf numFmtId="167" fontId="2" fillId="0" borderId="2" xfId="0" applyNumberFormat="1" applyFont="1" applyBorder="1" applyAlignment="1">
      <alignment horizontal="center" vertical="top" wrapText="1"/>
    </xf>
    <xf numFmtId="167" fontId="33" fillId="0" borderId="2" xfId="0" applyNumberFormat="1" applyFont="1" applyFill="1" applyBorder="1" applyAlignment="1">
      <alignment horizontal="center" vertical="top" wrapText="1"/>
    </xf>
    <xf numFmtId="167" fontId="30" fillId="0" borderId="2" xfId="0" applyNumberFormat="1" applyFont="1" applyFill="1" applyBorder="1" applyAlignment="1">
      <alignment horizontal="center" vertical="top" wrapText="1"/>
    </xf>
    <xf numFmtId="167" fontId="33" fillId="0" borderId="92" xfId="0" applyNumberFormat="1" applyFont="1" applyFill="1" applyBorder="1" applyAlignment="1">
      <alignment horizontal="center" vertical="top" wrapText="1"/>
    </xf>
    <xf numFmtId="0" fontId="2" fillId="0" borderId="0" xfId="0" applyFont="1" applyFill="1" applyBorder="1" applyAlignment="1">
      <alignment horizontal="center" vertical="top"/>
    </xf>
    <xf numFmtId="0" fontId="44" fillId="0" borderId="33" xfId="0" applyFont="1" applyFill="1" applyBorder="1" applyAlignment="1">
      <alignment vertical="top" wrapText="1"/>
    </xf>
    <xf numFmtId="0" fontId="44" fillId="0" borderId="31" xfId="0" applyFont="1" applyFill="1" applyBorder="1" applyAlignment="1">
      <alignment vertical="top" wrapText="1"/>
    </xf>
    <xf numFmtId="4" fontId="34" fillId="0" borderId="70" xfId="0" applyNumberFormat="1" applyFont="1" applyBorder="1" applyAlignment="1">
      <alignment horizontal="center" vertical="top" wrapText="1"/>
    </xf>
    <xf numFmtId="4" fontId="34" fillId="0" borderId="3" xfId="0" applyNumberFormat="1" applyFont="1" applyBorder="1" applyAlignment="1">
      <alignment horizontal="center" vertical="top" wrapText="1"/>
    </xf>
    <xf numFmtId="4" fontId="34" fillId="0" borderId="121" xfId="0" applyNumberFormat="1" applyFont="1" applyBorder="1" applyAlignment="1">
      <alignment horizontal="center" vertical="top" wrapText="1"/>
    </xf>
    <xf numFmtId="0" fontId="2" fillId="0" borderId="109" xfId="0" applyFont="1" applyBorder="1"/>
    <xf numFmtId="0" fontId="5" fillId="0" borderId="114" xfId="0" applyFont="1" applyFill="1" applyBorder="1" applyAlignment="1">
      <alignment vertical="top" wrapText="1"/>
    </xf>
    <xf numFmtId="3" fontId="2" fillId="0" borderId="115" xfId="0" applyNumberFormat="1" applyFont="1" applyFill="1" applyBorder="1" applyAlignment="1">
      <alignment horizontal="center" vertical="top" wrapText="1"/>
    </xf>
    <xf numFmtId="3" fontId="33" fillId="0" borderId="115" xfId="0" applyNumberFormat="1" applyFont="1" applyFill="1" applyBorder="1" applyAlignment="1">
      <alignment horizontal="center" vertical="top" wrapText="1"/>
    </xf>
    <xf numFmtId="0" fontId="3" fillId="74" borderId="109" xfId="0" applyFont="1" applyFill="1" applyBorder="1"/>
    <xf numFmtId="3" fontId="33" fillId="0" borderId="116" xfId="0" applyNumberFormat="1" applyFont="1" applyFill="1" applyBorder="1" applyAlignment="1">
      <alignment horizontal="center" vertical="top" wrapText="1"/>
    </xf>
    <xf numFmtId="0" fontId="2" fillId="0" borderId="2" xfId="0" applyFont="1" applyBorder="1" applyAlignment="1">
      <alignment vertical="top" wrapText="1"/>
    </xf>
    <xf numFmtId="0" fontId="16" fillId="0" borderId="2" xfId="1" applyFont="1" applyBorder="1" applyAlignment="1" applyProtection="1"/>
    <xf numFmtId="0" fontId="3" fillId="0" borderId="2" xfId="0" applyFont="1" applyFill="1" applyBorder="1" applyAlignment="1">
      <alignment vertical="top" wrapText="1"/>
    </xf>
    <xf numFmtId="167" fontId="2" fillId="0" borderId="2" xfId="0" applyNumberFormat="1" applyFont="1" applyFill="1" applyBorder="1" applyAlignment="1">
      <alignment horizontal="center" vertical="top" wrapText="1"/>
    </xf>
    <xf numFmtId="0" fontId="3" fillId="63" borderId="2" xfId="0" applyFont="1" applyFill="1" applyBorder="1" applyAlignment="1">
      <alignment vertical="top" wrapText="1"/>
    </xf>
    <xf numFmtId="167" fontId="3" fillId="63" borderId="2" xfId="0" applyNumberFormat="1" applyFont="1" applyFill="1" applyBorder="1" applyAlignment="1">
      <alignment horizontal="center" vertical="top" wrapText="1"/>
    </xf>
    <xf numFmtId="167" fontId="33" fillId="0" borderId="8" xfId="0" applyNumberFormat="1" applyFont="1" applyFill="1" applyBorder="1" applyAlignment="1">
      <alignment horizontal="center" vertical="top" wrapText="1"/>
    </xf>
    <xf numFmtId="167" fontId="3" fillId="74" borderId="2" xfId="2" applyNumberFormat="1" applyFont="1" applyFill="1" applyBorder="1" applyAlignment="1">
      <alignment horizontal="center" vertical="top" wrapText="1"/>
    </xf>
    <xf numFmtId="167" fontId="3" fillId="74" borderId="8" xfId="2" applyNumberFormat="1" applyFont="1" applyFill="1" applyBorder="1" applyAlignment="1">
      <alignment horizontal="center" vertical="top" wrapText="1"/>
    </xf>
    <xf numFmtId="167" fontId="2" fillId="0" borderId="2" xfId="2" applyNumberFormat="1" applyFont="1" applyFill="1" applyBorder="1" applyAlignment="1">
      <alignment horizontal="center" vertical="top" wrapText="1"/>
    </xf>
    <xf numFmtId="167" fontId="2" fillId="0" borderId="8" xfId="2" applyNumberFormat="1" applyFont="1" applyFill="1" applyBorder="1" applyAlignment="1">
      <alignment horizontal="center" vertical="top" wrapText="1"/>
    </xf>
    <xf numFmtId="167" fontId="2" fillId="0" borderId="8" xfId="0" applyNumberFormat="1" applyFont="1" applyFill="1" applyBorder="1" applyAlignment="1">
      <alignment horizontal="center" vertical="top" wrapText="1"/>
    </xf>
    <xf numFmtId="167" fontId="3" fillId="0" borderId="2"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0" fontId="2" fillId="0" borderId="109" xfId="0" applyFont="1" applyBorder="1" applyAlignment="1">
      <alignment horizontal="center" vertical="top" wrapText="1"/>
    </xf>
    <xf numFmtId="167" fontId="2" fillId="0" borderId="92" xfId="0" applyNumberFormat="1" applyFont="1" applyFill="1" applyBorder="1" applyAlignment="1">
      <alignment horizontal="center" vertical="top" wrapText="1"/>
    </xf>
    <xf numFmtId="167" fontId="3" fillId="0" borderId="92" xfId="0" applyNumberFormat="1" applyFont="1" applyFill="1" applyBorder="1" applyAlignment="1">
      <alignment horizontal="center" vertical="center" wrapText="1"/>
    </xf>
    <xf numFmtId="167" fontId="2" fillId="0" borderId="92" xfId="0" applyNumberFormat="1" applyFont="1" applyFill="1" applyBorder="1" applyAlignment="1">
      <alignment horizontal="center" vertical="center" wrapText="1"/>
    </xf>
    <xf numFmtId="0" fontId="3" fillId="63" borderId="109" xfId="0" applyFont="1" applyFill="1" applyBorder="1" applyAlignment="1">
      <alignment horizontal="center" vertical="top" wrapText="1"/>
    </xf>
    <xf numFmtId="167" fontId="3" fillId="63" borderId="92" xfId="0" applyNumberFormat="1" applyFont="1" applyFill="1" applyBorder="1" applyAlignment="1">
      <alignment horizontal="center" vertical="top" wrapText="1"/>
    </xf>
    <xf numFmtId="0" fontId="2" fillId="0" borderId="115" xfId="0" applyFont="1" applyFill="1" applyBorder="1" applyAlignment="1">
      <alignment vertical="top" wrapText="1"/>
    </xf>
    <xf numFmtId="0" fontId="2" fillId="0" borderId="112" xfId="0" applyFont="1" applyBorder="1" applyAlignment="1">
      <alignment horizontal="center" vertical="top" wrapText="1"/>
    </xf>
    <xf numFmtId="0" fontId="16" fillId="0" borderId="33" xfId="1" applyFont="1" applyBorder="1" applyAlignment="1" applyProtection="1"/>
    <xf numFmtId="167" fontId="2" fillId="0" borderId="33" xfId="0" applyNumberFormat="1" applyFont="1" applyBorder="1" applyAlignment="1">
      <alignment horizontal="center" vertical="top" wrapText="1"/>
    </xf>
    <xf numFmtId="167" fontId="2" fillId="0" borderId="33" xfId="0" applyNumberFormat="1" applyFont="1" applyFill="1" applyBorder="1" applyAlignment="1">
      <alignment horizontal="center" vertical="top" wrapText="1"/>
    </xf>
    <xf numFmtId="167" fontId="2" fillId="0" borderId="113" xfId="0" applyNumberFormat="1" applyFont="1" applyFill="1" applyBorder="1" applyAlignment="1">
      <alignment horizontal="center" vertical="top" wrapText="1"/>
    </xf>
    <xf numFmtId="0" fontId="2" fillId="0" borderId="109" xfId="0" applyFont="1" applyBorder="1" applyAlignment="1">
      <alignment horizontal="center" vertical="center" wrapText="1"/>
    </xf>
    <xf numFmtId="0" fontId="2" fillId="0" borderId="114" xfId="0" applyFont="1" applyBorder="1" applyAlignment="1">
      <alignment horizontal="center" vertical="center" wrapText="1"/>
    </xf>
    <xf numFmtId="0" fontId="3" fillId="0" borderId="109" xfId="0" applyFont="1" applyFill="1" applyBorder="1" applyAlignment="1">
      <alignment horizontal="center" vertical="center" wrapText="1"/>
    </xf>
    <xf numFmtId="0" fontId="2" fillId="0" borderId="109" xfId="0" applyFont="1" applyFill="1" applyBorder="1" applyAlignment="1">
      <alignment horizontal="center" vertical="center" wrapText="1"/>
    </xf>
    <xf numFmtId="167" fontId="30"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167" fontId="2" fillId="0" borderId="92" xfId="0" applyNumberFormat="1" applyFont="1" applyBorder="1" applyAlignment="1">
      <alignment horizontal="center" vertical="center" wrapText="1"/>
    </xf>
    <xf numFmtId="167" fontId="30" fillId="0" borderId="115" xfId="0" applyNumberFormat="1" applyFont="1" applyBorder="1" applyAlignment="1">
      <alignment horizontal="center" vertical="center" wrapText="1"/>
    </xf>
    <xf numFmtId="167" fontId="2" fillId="0" borderId="115" xfId="0" applyNumberFormat="1" applyFont="1" applyBorder="1" applyAlignment="1">
      <alignment horizontal="center" vertical="center" wrapText="1"/>
    </xf>
    <xf numFmtId="167" fontId="2" fillId="0" borderId="119" xfId="0" applyNumberFormat="1" applyFont="1" applyBorder="1" applyAlignment="1">
      <alignment horizontal="center" vertical="center" wrapText="1"/>
    </xf>
    <xf numFmtId="167" fontId="3" fillId="74" borderId="92" xfId="2" applyNumberFormat="1" applyFont="1" applyFill="1" applyBorder="1" applyAlignment="1">
      <alignment horizontal="center" vertical="top" wrapText="1"/>
    </xf>
    <xf numFmtId="167" fontId="2" fillId="0" borderId="92" xfId="2" applyNumberFormat="1" applyFont="1" applyFill="1" applyBorder="1" applyAlignment="1">
      <alignment horizontal="center" vertical="top" wrapText="1"/>
    </xf>
    <xf numFmtId="0" fontId="2" fillId="0" borderId="115" xfId="0" applyFont="1" applyBorder="1"/>
    <xf numFmtId="0" fontId="2" fillId="0" borderId="119" xfId="0" applyFont="1" applyBorder="1"/>
    <xf numFmtId="0" fontId="3" fillId="0" borderId="112" xfId="0" applyFont="1" applyBorder="1"/>
    <xf numFmtId="167" fontId="3" fillId="0" borderId="33" xfId="0" applyNumberFormat="1" applyFont="1" applyFill="1" applyBorder="1" applyAlignment="1">
      <alignment horizontal="center" vertical="top" wrapText="1"/>
    </xf>
    <xf numFmtId="167" fontId="3" fillId="0" borderId="35" xfId="0" applyNumberFormat="1" applyFont="1" applyFill="1" applyBorder="1" applyAlignment="1">
      <alignment horizontal="center" vertical="top" wrapText="1"/>
    </xf>
    <xf numFmtId="167" fontId="2" fillId="0" borderId="33" xfId="0" applyNumberFormat="1" applyFont="1" applyBorder="1"/>
    <xf numFmtId="167" fontId="2" fillId="0" borderId="113" xfId="0" applyNumberFormat="1" applyFont="1" applyBorder="1"/>
    <xf numFmtId="0" fontId="16" fillId="0" borderId="2" xfId="1" applyFont="1" applyFill="1" applyBorder="1" applyAlignment="1" applyProtection="1">
      <alignment vertical="top" wrapText="1"/>
    </xf>
    <xf numFmtId="0" fontId="23" fillId="0" borderId="109" xfId="0" applyFont="1" applyFill="1" applyBorder="1" applyAlignment="1">
      <alignment horizontal="center" vertical="top" wrapText="1"/>
    </xf>
    <xf numFmtId="49" fontId="23" fillId="0" borderId="109" xfId="0" applyNumberFormat="1" applyFont="1" applyFill="1" applyBorder="1" applyAlignment="1">
      <alignment horizontal="center" vertical="top" wrapText="1"/>
    </xf>
    <xf numFmtId="0" fontId="3" fillId="2" borderId="115" xfId="0" applyFont="1" applyFill="1" applyBorder="1" applyAlignment="1">
      <alignment vertical="top" wrapText="1"/>
    </xf>
    <xf numFmtId="2" fontId="2" fillId="0" borderId="2" xfId="0" applyNumberFormat="1" applyFont="1" applyFill="1" applyBorder="1" applyAlignment="1">
      <alignment vertical="center" wrapText="1"/>
    </xf>
    <xf numFmtId="0" fontId="5" fillId="0" borderId="2" xfId="0" applyFont="1" applyFill="1" applyBorder="1" applyAlignment="1">
      <alignment vertical="center" wrapText="1"/>
    </xf>
    <xf numFmtId="0" fontId="3" fillId="2" borderId="114" xfId="0" applyFont="1" applyFill="1" applyBorder="1" applyAlignment="1">
      <alignment horizontal="center" vertical="center" wrapText="1"/>
    </xf>
    <xf numFmtId="2" fontId="20" fillId="0" borderId="2" xfId="0" applyNumberFormat="1" applyFont="1" applyFill="1" applyBorder="1" applyAlignment="1">
      <alignment horizontal="right" vertical="center" wrapText="1"/>
    </xf>
    <xf numFmtId="0" fontId="20" fillId="0" borderId="2" xfId="0" applyFont="1" applyFill="1" applyBorder="1" applyAlignment="1">
      <alignment horizontal="right" vertical="top" wrapText="1"/>
    </xf>
    <xf numFmtId="0" fontId="2" fillId="0" borderId="33" xfId="0" applyFont="1" applyBorder="1" applyAlignment="1">
      <alignment horizontal="left" vertical="top"/>
    </xf>
    <xf numFmtId="0" fontId="2" fillId="0" borderId="130" xfId="0" applyFont="1" applyBorder="1" applyAlignment="1">
      <alignment horizontal="center" vertical="top" wrapText="1"/>
    </xf>
    <xf numFmtId="0" fontId="2" fillId="0" borderId="131" xfId="0" applyFont="1" applyBorder="1" applyAlignment="1">
      <alignment horizontal="center" vertical="top"/>
    </xf>
    <xf numFmtId="0" fontId="2" fillId="0" borderId="132" xfId="0" applyFont="1" applyBorder="1" applyAlignment="1">
      <alignment horizontal="center" vertical="top"/>
    </xf>
    <xf numFmtId="0" fontId="2" fillId="0" borderId="33" xfId="0" applyFont="1" applyBorder="1" applyAlignment="1">
      <alignment horizontal="center" vertical="center"/>
    </xf>
    <xf numFmtId="3" fontId="2" fillId="0" borderId="33" xfId="0" applyNumberFormat="1" applyFont="1" applyBorder="1" applyAlignment="1">
      <alignment horizontal="center" vertical="center"/>
    </xf>
    <xf numFmtId="3" fontId="2" fillId="0" borderId="113" xfId="0" applyNumberFormat="1" applyFont="1" applyBorder="1" applyAlignment="1">
      <alignment horizontal="center" vertical="center"/>
    </xf>
    <xf numFmtId="0" fontId="2" fillId="0" borderId="182" xfId="0" applyFont="1" applyBorder="1" applyAlignment="1">
      <alignment horizontal="center" vertical="top" wrapText="1"/>
    </xf>
    <xf numFmtId="0" fontId="2" fillId="0" borderId="187" xfId="0" applyFont="1" applyBorder="1" applyAlignment="1">
      <alignment horizontal="center" vertical="top" wrapText="1"/>
    </xf>
    <xf numFmtId="0" fontId="2" fillId="0" borderId="188" xfId="0" applyFont="1" applyBorder="1" applyAlignment="1">
      <alignment horizontal="center" vertical="top" wrapText="1"/>
    </xf>
    <xf numFmtId="0" fontId="30" fillId="0" borderId="2" xfId="0" applyFont="1" applyBorder="1" applyAlignment="1">
      <alignment horizontal="center" vertical="top" wrapText="1" shrinkToFit="1"/>
    </xf>
    <xf numFmtId="0" fontId="2" fillId="0" borderId="92" xfId="0" applyFont="1" applyBorder="1" applyAlignment="1">
      <alignment horizontal="center" vertical="top" wrapText="1" shrinkToFit="1"/>
    </xf>
    <xf numFmtId="0" fontId="2" fillId="0" borderId="92" xfId="0" applyFont="1" applyFill="1" applyBorder="1" applyAlignment="1">
      <alignment horizontal="center" vertical="top" wrapText="1" shrinkToFit="1"/>
    </xf>
    <xf numFmtId="0" fontId="3" fillId="7" borderId="33" xfId="0" applyFont="1" applyFill="1" applyBorder="1" applyAlignment="1">
      <alignment horizontal="center" vertical="top" wrapText="1" shrinkToFit="1"/>
    </xf>
    <xf numFmtId="0" fontId="3" fillId="7" borderId="113" xfId="0" applyFont="1" applyFill="1" applyBorder="1" applyAlignment="1">
      <alignment horizontal="center" vertical="top" wrapText="1" shrinkToFit="1"/>
    </xf>
    <xf numFmtId="0" fontId="3" fillId="7" borderId="33" xfId="0" applyFont="1" applyFill="1" applyBorder="1" applyAlignment="1">
      <alignment horizontal="center"/>
    </xf>
    <xf numFmtId="0" fontId="3" fillId="7" borderId="113" xfId="0" applyFont="1" applyFill="1" applyBorder="1" applyAlignment="1">
      <alignment horizontal="center"/>
    </xf>
    <xf numFmtId="0" fontId="2" fillId="0" borderId="92" xfId="0" applyFont="1" applyBorder="1" applyAlignment="1">
      <alignment horizontal="center"/>
    </xf>
    <xf numFmtId="0" fontId="3" fillId="2" borderId="151" xfId="0" applyFont="1" applyFill="1" applyBorder="1" applyAlignment="1">
      <alignment horizontal="center"/>
    </xf>
    <xf numFmtId="0" fontId="3" fillId="2" borderId="171" xfId="0" applyFont="1" applyFill="1" applyBorder="1" applyAlignment="1">
      <alignment horizontal="center"/>
    </xf>
    <xf numFmtId="0" fontId="3" fillId="7" borderId="134" xfId="0" applyFont="1" applyFill="1" applyBorder="1" applyAlignment="1">
      <alignment horizontal="center"/>
    </xf>
    <xf numFmtId="0" fontId="16" fillId="0" borderId="2" xfId="1" applyFont="1" applyBorder="1" applyAlignment="1" applyProtection="1">
      <alignment vertical="top" wrapText="1"/>
    </xf>
    <xf numFmtId="0" fontId="16" fillId="0" borderId="33" xfId="1" applyFont="1" applyBorder="1" applyAlignment="1" applyProtection="1">
      <alignment vertical="top" wrapText="1"/>
    </xf>
    <xf numFmtId="3" fontId="3" fillId="0" borderId="115" xfId="0" applyNumberFormat="1" applyFont="1" applyFill="1" applyBorder="1" applyAlignment="1">
      <alignment horizontal="center" vertical="center" wrapText="1"/>
    </xf>
    <xf numFmtId="4" fontId="2" fillId="0" borderId="33" xfId="0" applyNumberFormat="1" applyFont="1" applyBorder="1" applyAlignment="1">
      <alignment horizontal="center" vertical="center" wrapText="1"/>
    </xf>
    <xf numFmtId="4" fontId="2" fillId="0" borderId="33" xfId="0" applyNumberFormat="1" applyFont="1" applyFill="1" applyBorder="1" applyAlignment="1">
      <alignment horizontal="center" vertical="center" wrapText="1"/>
    </xf>
    <xf numFmtId="0" fontId="3" fillId="63" borderId="2" xfId="1" applyFont="1" applyFill="1" applyBorder="1" applyAlignment="1" applyProtection="1">
      <alignment vertical="top" wrapText="1"/>
    </xf>
    <xf numFmtId="0" fontId="3" fillId="63" borderId="114" xfId="0" applyFont="1" applyFill="1" applyBorder="1" applyAlignment="1">
      <alignment horizontal="center" vertical="top" wrapText="1"/>
    </xf>
    <xf numFmtId="0" fontId="3" fillId="63" borderId="115" xfId="0" applyFont="1" applyFill="1" applyBorder="1" applyAlignment="1">
      <alignment vertical="top" wrapText="1"/>
    </xf>
    <xf numFmtId="3" fontId="3" fillId="63" borderId="115" xfId="0" applyNumberFormat="1" applyFont="1" applyFill="1" applyBorder="1" applyAlignment="1">
      <alignment horizontal="center" vertical="center" wrapText="1"/>
    </xf>
    <xf numFmtId="0" fontId="2" fillId="0" borderId="272" xfId="0" applyFont="1" applyBorder="1" applyAlignment="1">
      <alignment horizontal="center" vertical="top"/>
    </xf>
    <xf numFmtId="4" fontId="2" fillId="0" borderId="35" xfId="0" applyNumberFormat="1" applyFont="1" applyFill="1" applyBorder="1" applyAlignment="1">
      <alignment horizontal="center" vertical="center" wrapText="1"/>
    </xf>
    <xf numFmtId="3" fontId="3" fillId="63" borderId="116" xfId="0" applyNumberFormat="1" applyFont="1" applyFill="1" applyBorder="1" applyAlignment="1">
      <alignment horizontal="center" vertical="center" wrapText="1"/>
    </xf>
    <xf numFmtId="3" fontId="2" fillId="0" borderId="35" xfId="0" applyNumberFormat="1" applyFont="1" applyBorder="1" applyAlignment="1">
      <alignment horizontal="center" vertical="center"/>
    </xf>
    <xf numFmtId="3" fontId="2" fillId="0" borderId="33" xfId="0" applyNumberFormat="1" applyFont="1" applyBorder="1" applyAlignment="1">
      <alignment horizontal="center" vertical="center" wrapText="1"/>
    </xf>
    <xf numFmtId="0" fontId="0" fillId="0" borderId="0" xfId="0" applyAlignment="1"/>
    <xf numFmtId="3" fontId="2" fillId="0" borderId="2" xfId="0" applyNumberFormat="1" applyFont="1" applyBorder="1" applyAlignment="1">
      <alignment horizontal="center" vertical="center"/>
    </xf>
    <xf numFmtId="3" fontId="2" fillId="0" borderId="2"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3" fontId="2" fillId="0" borderId="92" xfId="0" applyNumberFormat="1" applyFont="1" applyFill="1" applyBorder="1" applyAlignment="1">
      <alignment horizontal="center" vertical="center"/>
    </xf>
    <xf numFmtId="3" fontId="2" fillId="0" borderId="8" xfId="0" applyNumberFormat="1" applyFont="1" applyBorder="1" applyAlignment="1">
      <alignment horizontal="center" vertical="center"/>
    </xf>
    <xf numFmtId="3" fontId="2" fillId="0" borderId="92" xfId="0" applyNumberFormat="1" applyFont="1" applyBorder="1" applyAlignment="1">
      <alignment horizontal="center" vertical="center"/>
    </xf>
    <xf numFmtId="3" fontId="20" fillId="0" borderId="2" xfId="0" applyNumberFormat="1" applyFont="1" applyBorder="1" applyAlignment="1">
      <alignment horizontal="center" vertical="center"/>
    </xf>
    <xf numFmtId="3" fontId="20" fillId="0" borderId="92" xfId="0" applyNumberFormat="1" applyFont="1" applyBorder="1" applyAlignment="1">
      <alignment horizontal="center" vertical="center"/>
    </xf>
    <xf numFmtId="3" fontId="20" fillId="0" borderId="8" xfId="0" applyNumberFormat="1" applyFont="1" applyBorder="1" applyAlignment="1">
      <alignment horizontal="center" vertical="center"/>
    </xf>
    <xf numFmtId="0" fontId="20" fillId="0" borderId="2" xfId="0" applyFont="1" applyBorder="1" applyAlignment="1"/>
    <xf numFmtId="0" fontId="20" fillId="0" borderId="92" xfId="0" applyFont="1" applyBorder="1" applyAlignment="1"/>
    <xf numFmtId="3" fontId="30" fillId="0" borderId="2" xfId="0" applyNumberFormat="1" applyFont="1" applyBorder="1" applyAlignment="1">
      <alignment horizontal="center" vertical="center"/>
    </xf>
    <xf numFmtId="3" fontId="30" fillId="0" borderId="92" xfId="0" applyNumberFormat="1" applyFont="1" applyBorder="1" applyAlignment="1">
      <alignment horizontal="center" vertical="center"/>
    </xf>
    <xf numFmtId="0" fontId="21" fillId="0" borderId="2" xfId="0" applyFont="1" applyBorder="1" applyAlignment="1"/>
    <xf numFmtId="0" fontId="21" fillId="0" borderId="92" xfId="0" applyFont="1" applyBorder="1" applyAlignment="1"/>
    <xf numFmtId="3" fontId="3" fillId="2" borderId="115" xfId="0" applyNumberFormat="1" applyFont="1" applyFill="1" applyBorder="1" applyAlignment="1">
      <alignment horizontal="center" vertical="center"/>
    </xf>
    <xf numFmtId="3" fontId="3" fillId="2" borderId="116" xfId="0" applyNumberFormat="1" applyFont="1" applyFill="1" applyBorder="1" applyAlignment="1">
      <alignment horizontal="center" vertical="center"/>
    </xf>
    <xf numFmtId="3" fontId="3" fillId="2" borderId="119" xfId="0" applyNumberFormat="1" applyFont="1" applyFill="1" applyBorder="1" applyAlignment="1">
      <alignment horizontal="center" vertical="center"/>
    </xf>
    <xf numFmtId="0" fontId="2" fillId="0" borderId="0" xfId="0" applyFont="1" applyBorder="1" applyAlignment="1">
      <alignment horizontal="left" vertical="top"/>
    </xf>
    <xf numFmtId="0" fontId="38" fillId="0" borderId="0" xfId="0" applyFont="1" applyAlignment="1"/>
    <xf numFmtId="0" fontId="13" fillId="0" borderId="2" xfId="0" applyFont="1" applyBorder="1"/>
    <xf numFmtId="0" fontId="3" fillId="0" borderId="2" xfId="0" applyFont="1" applyBorder="1"/>
    <xf numFmtId="167" fontId="13" fillId="0" borderId="2" xfId="0" applyNumberFormat="1" applyFont="1" applyBorder="1" applyAlignment="1">
      <alignment horizontal="center" vertical="top" wrapText="1"/>
    </xf>
    <xf numFmtId="167" fontId="24" fillId="0" borderId="2" xfId="0" applyNumberFormat="1" applyFont="1" applyBorder="1" applyAlignment="1">
      <alignment horizontal="center" vertical="top" wrapText="1"/>
    </xf>
    <xf numFmtId="167" fontId="3" fillId="0" borderId="2" xfId="0" applyNumberFormat="1" applyFont="1" applyBorder="1" applyAlignment="1">
      <alignment horizontal="center" vertical="top" wrapText="1"/>
    </xf>
    <xf numFmtId="167" fontId="2" fillId="7" borderId="2" xfId="0" applyNumberFormat="1" applyFont="1" applyFill="1" applyBorder="1" applyAlignment="1">
      <alignment horizontal="center" vertical="top" wrapText="1"/>
    </xf>
    <xf numFmtId="3" fontId="25" fillId="0" borderId="2" xfId="0" applyNumberFormat="1" applyFont="1" applyBorder="1" applyAlignment="1">
      <alignment horizontal="center" vertical="top" wrapText="1"/>
    </xf>
    <xf numFmtId="3" fontId="25" fillId="0" borderId="2" xfId="0" applyNumberFormat="1" applyFont="1" applyFill="1" applyBorder="1" applyAlignment="1">
      <alignment horizontal="center" vertical="top" wrapText="1"/>
    </xf>
    <xf numFmtId="3" fontId="13" fillId="0" borderId="2" xfId="0" applyNumberFormat="1" applyFont="1" applyBorder="1" applyAlignment="1">
      <alignment horizontal="center" vertical="top" wrapText="1"/>
    </xf>
    <xf numFmtId="3" fontId="13" fillId="0" borderId="2" xfId="0" applyNumberFormat="1" applyFont="1" applyFill="1" applyBorder="1" applyAlignment="1">
      <alignment horizontal="center" vertical="top" wrapText="1"/>
    </xf>
    <xf numFmtId="3" fontId="3" fillId="0" borderId="2" xfId="0" applyNumberFormat="1" applyFont="1" applyBorder="1" applyAlignment="1">
      <alignment horizontal="center" vertical="top" wrapText="1"/>
    </xf>
    <xf numFmtId="167" fontId="25" fillId="0" borderId="109" xfId="0" applyNumberFormat="1" applyFont="1" applyBorder="1" applyAlignment="1">
      <alignment horizontal="left"/>
    </xf>
    <xf numFmtId="3" fontId="25" fillId="0" borderId="92" xfId="0" applyNumberFormat="1" applyFont="1" applyFill="1" applyBorder="1" applyAlignment="1">
      <alignment horizontal="center" vertical="top" wrapText="1"/>
    </xf>
    <xf numFmtId="167" fontId="13" fillId="0" borderId="109" xfId="0" applyNumberFormat="1" applyFont="1" applyBorder="1" applyAlignment="1">
      <alignment horizontal="left"/>
    </xf>
    <xf numFmtId="3" fontId="13" fillId="0" borderId="92" xfId="0" applyNumberFormat="1" applyFont="1" applyFill="1" applyBorder="1" applyAlignment="1">
      <alignment horizontal="center" vertical="top" wrapText="1"/>
    </xf>
    <xf numFmtId="0" fontId="13" fillId="0" borderId="92" xfId="0" applyFont="1" applyBorder="1"/>
    <xf numFmtId="167" fontId="24" fillId="0" borderId="109" xfId="0" applyNumberFormat="1" applyFont="1" applyBorder="1" applyAlignment="1">
      <alignment horizontal="left"/>
    </xf>
    <xf numFmtId="167" fontId="24" fillId="0" borderId="92" xfId="0" applyNumberFormat="1" applyFont="1" applyBorder="1" applyAlignment="1">
      <alignment horizontal="center" vertical="top" wrapText="1"/>
    </xf>
    <xf numFmtId="3" fontId="13" fillId="0" borderId="92" xfId="0" applyNumberFormat="1" applyFont="1" applyBorder="1" applyAlignment="1">
      <alignment horizontal="center" vertical="top" wrapText="1"/>
    </xf>
    <xf numFmtId="167" fontId="13" fillId="0" borderId="92" xfId="0" applyNumberFormat="1" applyFont="1" applyBorder="1" applyAlignment="1">
      <alignment horizontal="center" vertical="top" wrapText="1"/>
    </xf>
    <xf numFmtId="167" fontId="3" fillId="0" borderId="109" xfId="0" applyNumberFormat="1" applyFont="1" applyBorder="1" applyAlignment="1">
      <alignment horizontal="left"/>
    </xf>
    <xf numFmtId="3" fontId="3" fillId="0" borderId="92" xfId="0" applyNumberFormat="1" applyFont="1" applyBorder="1" applyAlignment="1">
      <alignment horizontal="center" vertical="top" wrapText="1"/>
    </xf>
    <xf numFmtId="167" fontId="3" fillId="0" borderId="92" xfId="0" applyNumberFormat="1" applyFont="1" applyBorder="1" applyAlignment="1">
      <alignment horizontal="center" vertical="top" wrapText="1"/>
    </xf>
    <xf numFmtId="0" fontId="3" fillId="0" borderId="92" xfId="0" applyFont="1" applyBorder="1"/>
    <xf numFmtId="167" fontId="2" fillId="7" borderId="109" xfId="0" applyNumberFormat="1" applyFont="1" applyFill="1" applyBorder="1" applyAlignment="1">
      <alignment horizontal="left"/>
    </xf>
    <xf numFmtId="167" fontId="2" fillId="7" borderId="92" xfId="0" applyNumberFormat="1" applyFont="1" applyFill="1" applyBorder="1" applyAlignment="1">
      <alignment horizontal="center" vertical="top" wrapText="1"/>
    </xf>
    <xf numFmtId="167" fontId="13" fillId="0" borderId="114" xfId="0" applyNumberFormat="1" applyFont="1" applyBorder="1" applyAlignment="1">
      <alignment horizontal="left"/>
    </xf>
    <xf numFmtId="167" fontId="13" fillId="0" borderId="115" xfId="0" applyNumberFormat="1" applyFont="1" applyBorder="1" applyAlignment="1">
      <alignment horizontal="center" vertical="top" wrapText="1"/>
    </xf>
    <xf numFmtId="167" fontId="13" fillId="0" borderId="119" xfId="0" applyNumberFormat="1" applyFont="1" applyBorder="1" applyAlignment="1">
      <alignment horizontal="center" vertical="top" wrapText="1"/>
    </xf>
    <xf numFmtId="167" fontId="25" fillId="0" borderId="112" xfId="0" applyNumberFormat="1" applyFont="1" applyBorder="1" applyAlignment="1">
      <alignment horizontal="left"/>
    </xf>
    <xf numFmtId="3" fontId="25" fillId="0" borderId="33" xfId="0" applyNumberFormat="1" applyFont="1" applyBorder="1" applyAlignment="1">
      <alignment horizontal="center" vertical="top" wrapText="1"/>
    </xf>
    <xf numFmtId="3" fontId="25" fillId="0" borderId="33" xfId="0" applyNumberFormat="1" applyFont="1" applyFill="1" applyBorder="1" applyAlignment="1">
      <alignment horizontal="center" vertical="top" wrapText="1"/>
    </xf>
    <xf numFmtId="3" fontId="25" fillId="0" borderId="113" xfId="0" applyNumberFormat="1" applyFont="1" applyFill="1" applyBorder="1" applyAlignment="1">
      <alignment horizontal="center" vertical="top" wrapText="1"/>
    </xf>
    <xf numFmtId="0" fontId="3" fillId="0" borderId="130" xfId="0" applyFont="1" applyBorder="1" applyAlignment="1">
      <alignment horizontal="center" vertical="top"/>
    </xf>
    <xf numFmtId="0" fontId="3" fillId="0" borderId="131" xfId="0" applyFont="1" applyBorder="1" applyAlignment="1">
      <alignment horizontal="center" vertical="top"/>
    </xf>
    <xf numFmtId="0" fontId="3" fillId="0" borderId="131" xfId="0" applyFont="1" applyBorder="1" applyAlignment="1">
      <alignment vertical="top"/>
    </xf>
    <xf numFmtId="0" fontId="3" fillId="0" borderId="132" xfId="0" applyFont="1" applyBorder="1" applyAlignment="1">
      <alignment horizontal="center" vertical="top"/>
    </xf>
    <xf numFmtId="167" fontId="2" fillId="0" borderId="33" xfId="0" applyNumberFormat="1" applyFont="1" applyBorder="1" applyAlignment="1">
      <alignment horizontal="center" vertical="center" wrapText="1"/>
    </xf>
    <xf numFmtId="167" fontId="2" fillId="0" borderId="33" xfId="0" applyNumberFormat="1" applyFont="1" applyFill="1" applyBorder="1" applyAlignment="1">
      <alignment horizontal="center" vertical="center" wrapText="1"/>
    </xf>
    <xf numFmtId="167" fontId="2" fillId="0" borderId="35"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40" fillId="0" borderId="2" xfId="0" applyNumberFormat="1" applyFont="1" applyBorder="1" applyAlignment="1">
      <alignment vertical="top" wrapText="1"/>
    </xf>
    <xf numFmtId="167" fontId="3" fillId="0" borderId="2" xfId="0" applyNumberFormat="1" applyFont="1" applyBorder="1" applyAlignment="1">
      <alignment horizontal="center" vertical="center" wrapText="1"/>
    </xf>
    <xf numFmtId="167" fontId="3" fillId="0" borderId="8" xfId="0" applyNumberFormat="1" applyFont="1" applyFill="1" applyBorder="1" applyAlignment="1">
      <alignment horizontal="center" vertical="center" wrapText="1"/>
    </xf>
    <xf numFmtId="167" fontId="2" fillId="0" borderId="8" xfId="0" applyNumberFormat="1" applyFont="1" applyBorder="1" applyAlignment="1">
      <alignment horizontal="center" vertical="center" wrapText="1"/>
    </xf>
    <xf numFmtId="0" fontId="0" fillId="0" borderId="0" xfId="0"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3" fillId="0" borderId="3" xfId="0" applyFont="1" applyBorder="1" applyAlignment="1">
      <alignment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3" fillId="0" borderId="30" xfId="0" applyFont="1" applyBorder="1" applyAlignment="1">
      <alignment horizontal="center" vertical="center" wrapText="1"/>
    </xf>
    <xf numFmtId="0" fontId="25" fillId="0" borderId="22" xfId="0" applyFont="1" applyBorder="1" applyAlignment="1">
      <alignment vertical="center" wrapText="1"/>
    </xf>
    <xf numFmtId="0" fontId="25" fillId="0" borderId="247" xfId="0" applyFont="1" applyBorder="1" applyAlignment="1">
      <alignment vertical="center" wrapText="1"/>
    </xf>
    <xf numFmtId="0" fontId="25" fillId="0" borderId="247" xfId="0" applyFont="1" applyBorder="1" applyAlignment="1">
      <alignment horizontal="justify" vertical="center" wrapText="1"/>
    </xf>
    <xf numFmtId="0" fontId="25" fillId="0" borderId="24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4" xfId="0" applyFont="1" applyBorder="1" applyAlignment="1">
      <alignment horizontal="justify" vertical="center" wrapText="1"/>
    </xf>
    <xf numFmtId="0" fontId="23" fillId="0" borderId="274" xfId="0" applyFont="1" applyBorder="1" applyAlignment="1">
      <alignment horizontal="center" vertical="center" wrapText="1"/>
    </xf>
    <xf numFmtId="0" fontId="23" fillId="0" borderId="258" xfId="0" applyFont="1" applyBorder="1" applyAlignment="1">
      <alignment horizontal="justify" vertical="center" wrapText="1"/>
    </xf>
    <xf numFmtId="0" fontId="23" fillId="0" borderId="258" xfId="0" applyFont="1" applyBorder="1" applyAlignment="1">
      <alignment horizontal="center" vertical="center" wrapText="1"/>
    </xf>
    <xf numFmtId="3" fontId="23" fillId="0" borderId="258" xfId="0" applyNumberFormat="1" applyFont="1" applyBorder="1" applyAlignment="1">
      <alignment horizontal="center" vertical="center" wrapText="1"/>
    </xf>
    <xf numFmtId="0" fontId="23" fillId="0" borderId="260" xfId="0" applyFont="1" applyBorder="1" applyAlignment="1">
      <alignment horizontal="justify" vertical="center" wrapText="1"/>
    </xf>
    <xf numFmtId="0" fontId="23" fillId="0" borderId="260" xfId="0" applyFont="1" applyBorder="1" applyAlignment="1">
      <alignment horizontal="center" vertical="center" wrapText="1"/>
    </xf>
    <xf numFmtId="3" fontId="23" fillId="0" borderId="260" xfId="0" applyNumberFormat="1" applyFont="1" applyBorder="1" applyAlignment="1">
      <alignment horizontal="center" vertical="center" wrapText="1"/>
    </xf>
    <xf numFmtId="0" fontId="23" fillId="0" borderId="256" xfId="0" applyFont="1" applyBorder="1" applyAlignment="1">
      <alignment horizontal="justify" vertical="center" wrapText="1"/>
    </xf>
    <xf numFmtId="0" fontId="23" fillId="0" borderId="256" xfId="0" applyFont="1" applyBorder="1" applyAlignment="1">
      <alignment horizontal="center" vertical="center" wrapText="1"/>
    </xf>
    <xf numFmtId="3" fontId="23" fillId="0" borderId="277" xfId="0" applyNumberFormat="1" applyFont="1" applyBorder="1" applyAlignment="1">
      <alignment horizontal="center" vertical="center" wrapText="1"/>
    </xf>
    <xf numFmtId="181" fontId="23" fillId="0" borderId="274" xfId="0" applyNumberFormat="1" applyFont="1" applyBorder="1" applyAlignment="1">
      <alignment horizontal="center" vertical="center" wrapText="1"/>
    </xf>
    <xf numFmtId="181" fontId="23" fillId="0" borderId="258" xfId="0" applyNumberFormat="1" applyFont="1" applyBorder="1" applyAlignment="1">
      <alignment horizontal="center" vertical="center" wrapText="1"/>
    </xf>
    <xf numFmtId="181" fontId="23" fillId="0" borderId="260" xfId="0" applyNumberFormat="1" applyFont="1" applyBorder="1" applyAlignment="1">
      <alignment horizontal="center" vertical="center" wrapText="1"/>
    </xf>
    <xf numFmtId="181" fontId="23" fillId="0" borderId="256" xfId="0" applyNumberFormat="1" applyFont="1" applyBorder="1" applyAlignment="1">
      <alignment horizontal="center" vertical="center" wrapText="1"/>
    </xf>
    <xf numFmtId="181" fontId="23" fillId="0" borderId="277" xfId="0" applyNumberFormat="1" applyFont="1" applyBorder="1" applyAlignment="1">
      <alignment horizontal="center" vertical="center" wrapText="1"/>
    </xf>
    <xf numFmtId="3" fontId="23" fillId="0" borderId="275" xfId="0" applyNumberFormat="1" applyFont="1" applyBorder="1" applyAlignment="1">
      <alignment horizontal="center" vertical="center" wrapText="1"/>
    </xf>
    <xf numFmtId="3" fontId="23" fillId="0" borderId="262" xfId="0" applyNumberFormat="1" applyFont="1" applyBorder="1" applyAlignment="1">
      <alignment horizontal="center" vertical="center" wrapText="1"/>
    </xf>
    <xf numFmtId="3" fontId="23" fillId="0" borderId="263" xfId="0" applyNumberFormat="1" applyFont="1" applyBorder="1" applyAlignment="1">
      <alignment horizontal="center" vertical="center" wrapText="1"/>
    </xf>
    <xf numFmtId="3" fontId="23" fillId="0" borderId="261" xfId="0" applyNumberFormat="1" applyFont="1" applyBorder="1" applyAlignment="1">
      <alignment horizontal="center" vertical="center" wrapText="1"/>
    </xf>
    <xf numFmtId="3" fontId="23" fillId="0" borderId="278" xfId="0" applyNumberFormat="1" applyFont="1" applyBorder="1" applyAlignment="1">
      <alignment horizontal="center" vertical="center" wrapText="1"/>
    </xf>
    <xf numFmtId="3" fontId="25" fillId="0" borderId="248" xfId="0" applyNumberFormat="1" applyFont="1" applyBorder="1" applyAlignment="1">
      <alignment horizontal="center" vertical="center" wrapText="1"/>
    </xf>
    <xf numFmtId="181" fontId="2" fillId="0" borderId="2" xfId="0" applyNumberFormat="1" applyFont="1" applyBorder="1" applyAlignment="1">
      <alignment horizontal="center" vertical="center" wrapText="1"/>
    </xf>
    <xf numFmtId="181" fontId="23"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vertical="center" wrapText="1"/>
    </xf>
    <xf numFmtId="181" fontId="23" fillId="0" borderId="3" xfId="0" applyNumberFormat="1" applyFont="1" applyBorder="1" applyAlignment="1">
      <alignment horizontal="center" vertical="center" wrapText="1"/>
    </xf>
    <xf numFmtId="181" fontId="23" fillId="0" borderId="4"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0" xfId="0" applyFont="1" applyBorder="1" applyAlignment="1">
      <alignment horizontal="center" vertical="center" wrapText="1"/>
    </xf>
    <xf numFmtId="181" fontId="23" fillId="0" borderId="269"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30" xfId="0" applyFont="1" applyBorder="1" applyAlignment="1">
      <alignment vertical="center" wrapText="1"/>
    </xf>
    <xf numFmtId="0" fontId="3" fillId="0" borderId="22" xfId="0" applyFont="1" applyBorder="1" applyAlignment="1">
      <alignment horizontal="center" vertical="center" wrapText="1"/>
    </xf>
    <xf numFmtId="0" fontId="3" fillId="0" borderId="247" xfId="0" applyFont="1" applyBorder="1" applyAlignment="1">
      <alignment horizontal="center" vertical="center" wrapText="1"/>
    </xf>
    <xf numFmtId="0" fontId="3" fillId="0" borderId="248"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horizontal="center" vertical="center" wrapText="1"/>
    </xf>
    <xf numFmtId="0" fontId="3" fillId="0" borderId="22" xfId="0" applyFont="1" applyBorder="1" applyAlignment="1">
      <alignment vertical="center" wrapText="1"/>
    </xf>
    <xf numFmtId="3" fontId="3" fillId="0" borderId="247" xfId="0" applyNumberFormat="1" applyFont="1" applyBorder="1" applyAlignment="1">
      <alignment horizontal="center" vertical="center" wrapText="1"/>
    </xf>
    <xf numFmtId="3" fontId="3" fillId="0" borderId="248"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6"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1" xfId="0" applyFont="1" applyBorder="1" applyAlignment="1">
      <alignment horizontal="center" vertical="center" wrapText="1"/>
    </xf>
    <xf numFmtId="0" fontId="288" fillId="0" borderId="33" xfId="0" applyFont="1" applyBorder="1" applyAlignment="1">
      <alignment horizontal="left" vertical="center" wrapText="1"/>
    </xf>
    <xf numFmtId="181" fontId="23" fillId="0" borderId="33"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23" xfId="0" applyFont="1" applyBorder="1" applyAlignment="1">
      <alignment vertical="center" wrapText="1"/>
    </xf>
    <xf numFmtId="0" fontId="3" fillId="0" borderId="99" xfId="0" applyFont="1" applyBorder="1" applyAlignment="1">
      <alignment vertical="center" wrapText="1"/>
    </xf>
    <xf numFmtId="0" fontId="3" fillId="0" borderId="99" xfId="0" applyFont="1" applyBorder="1" applyAlignment="1">
      <alignment horizontal="center" vertical="center" wrapText="1"/>
    </xf>
    <xf numFmtId="0" fontId="3" fillId="0" borderId="102" xfId="0" applyFont="1" applyBorder="1" applyAlignment="1">
      <alignment horizontal="center" vertical="center" wrapText="1"/>
    </xf>
    <xf numFmtId="2" fontId="23" fillId="0" borderId="0" xfId="0" applyNumberFormat="1" applyFont="1" applyFill="1" applyBorder="1" applyAlignment="1">
      <alignment horizontal="center" vertical="center" wrapText="1"/>
    </xf>
    <xf numFmtId="181" fontId="0" fillId="0" borderId="0" xfId="0" applyNumberFormat="1"/>
    <xf numFmtId="2" fontId="0" fillId="0" borderId="0" xfId="0" applyNumberFormat="1" applyAlignment="1">
      <alignment horizontal="center"/>
    </xf>
    <xf numFmtId="0" fontId="20" fillId="0" borderId="2" xfId="0" applyFont="1" applyBorder="1" applyAlignment="1">
      <alignment horizontal="right" vertical="center" wrapText="1"/>
    </xf>
    <xf numFmtId="181" fontId="7" fillId="0" borderId="2" xfId="0" applyNumberFormat="1" applyFont="1" applyBorder="1" applyAlignment="1">
      <alignment horizontal="center" vertical="center" wrapText="1"/>
    </xf>
    <xf numFmtId="181" fontId="2" fillId="0" borderId="5" xfId="0" applyNumberFormat="1" applyFont="1" applyBorder="1" applyAlignment="1">
      <alignment horizontal="center" vertical="center" wrapText="1"/>
    </xf>
    <xf numFmtId="181" fontId="7" fillId="0" borderId="5" xfId="0" applyNumberFormat="1" applyFont="1" applyBorder="1" applyAlignment="1">
      <alignment horizontal="center" vertical="center" wrapText="1"/>
    </xf>
    <xf numFmtId="0" fontId="23" fillId="0" borderId="33" xfId="0" applyFont="1" applyBorder="1" applyAlignment="1">
      <alignment vertical="center" wrapText="1"/>
    </xf>
    <xf numFmtId="181" fontId="2" fillId="0" borderId="33" xfId="0" applyNumberFormat="1" applyFont="1" applyBorder="1" applyAlignment="1">
      <alignment horizontal="center" vertical="center" wrapText="1"/>
    </xf>
    <xf numFmtId="181" fontId="2" fillId="0" borderId="31" xfId="0" applyNumberFormat="1" applyFont="1" applyBorder="1" applyAlignment="1">
      <alignment horizontal="center" vertical="center" wrapText="1"/>
    </xf>
    <xf numFmtId="0" fontId="3" fillId="0" borderId="3" xfId="0" applyFont="1" applyBorder="1" applyAlignment="1">
      <alignment horizontal="center" vertical="center" wrapText="1"/>
    </xf>
    <xf numFmtId="181" fontId="2" fillId="0" borderId="258" xfId="0" applyNumberFormat="1" applyFont="1" applyBorder="1" applyAlignment="1">
      <alignment horizontal="center" vertical="center" wrapText="1"/>
    </xf>
    <xf numFmtId="181" fontId="7" fillId="0" borderId="258" xfId="0" applyNumberFormat="1" applyFont="1" applyBorder="1" applyAlignment="1">
      <alignment horizontal="center" vertical="center" wrapText="1"/>
    </xf>
    <xf numFmtId="181" fontId="23" fillId="0" borderId="25" xfId="0" applyNumberFormat="1" applyFont="1" applyBorder="1" applyAlignment="1">
      <alignment horizontal="center" vertical="center" wrapText="1"/>
    </xf>
    <xf numFmtId="181" fontId="23" fillId="0" borderId="31" xfId="0" applyNumberFormat="1" applyFont="1" applyBorder="1" applyAlignment="1">
      <alignment horizontal="center" vertical="center" wrapText="1"/>
    </xf>
    <xf numFmtId="181" fontId="2" fillId="70" borderId="274" xfId="0" applyNumberFormat="1" applyFont="1" applyFill="1" applyBorder="1" applyAlignment="1">
      <alignment horizontal="center" vertical="center" wrapText="1"/>
    </xf>
    <xf numFmtId="16" fontId="23" fillId="70" borderId="1" xfId="0" applyNumberFormat="1" applyFont="1" applyFill="1" applyBorder="1" applyAlignment="1">
      <alignment horizontal="center" vertical="center" wrapText="1"/>
    </xf>
    <xf numFmtId="0" fontId="23" fillId="70" borderId="2" xfId="0" applyFont="1" applyFill="1" applyBorder="1" applyAlignment="1">
      <alignment vertical="center" wrapText="1"/>
    </xf>
    <xf numFmtId="0" fontId="23" fillId="70" borderId="2" xfId="0" applyFont="1" applyFill="1" applyBorder="1" applyAlignment="1">
      <alignment horizontal="center" vertical="center" wrapText="1"/>
    </xf>
    <xf numFmtId="181" fontId="2" fillId="70" borderId="258" xfId="0" applyNumberFormat="1" applyFont="1" applyFill="1" applyBorder="1" applyAlignment="1">
      <alignment horizontal="center" vertical="center" wrapText="1"/>
    </xf>
    <xf numFmtId="181" fontId="2" fillId="70" borderId="2" xfId="0" applyNumberFormat="1" applyFont="1" applyFill="1" applyBorder="1" applyAlignment="1">
      <alignment horizontal="center" vertical="center" wrapText="1"/>
    </xf>
    <xf numFmtId="181" fontId="2" fillId="70" borderId="5" xfId="0" applyNumberFormat="1" applyFont="1" applyFill="1" applyBorder="1" applyAlignment="1">
      <alignment horizontal="center" vertical="center" wrapText="1"/>
    </xf>
    <xf numFmtId="0" fontId="23" fillId="70" borderId="1" xfId="0" applyFont="1" applyFill="1" applyBorder="1" applyAlignment="1">
      <alignment horizontal="center" vertical="center" wrapText="1"/>
    </xf>
    <xf numFmtId="181" fontId="23" fillId="70" borderId="2" xfId="0" applyNumberFormat="1" applyFont="1" applyFill="1" applyBorder="1" applyAlignment="1">
      <alignment horizontal="center" vertical="center" wrapText="1"/>
    </xf>
    <xf numFmtId="0" fontId="23" fillId="0" borderId="25" xfId="0" applyFont="1" applyBorder="1" applyAlignment="1">
      <alignment vertical="center" wrapText="1"/>
    </xf>
    <xf numFmtId="181" fontId="2" fillId="0" borderId="25" xfId="0" applyNumberFormat="1" applyFont="1" applyBorder="1" applyAlignment="1">
      <alignment horizontal="center" vertical="center" wrapText="1"/>
    </xf>
    <xf numFmtId="181" fontId="2" fillId="0" borderId="26" xfId="0" applyNumberFormat="1" applyFont="1" applyBorder="1" applyAlignment="1">
      <alignment horizontal="center" vertical="center" wrapText="1"/>
    </xf>
    <xf numFmtId="0" fontId="20" fillId="0" borderId="33" xfId="0" applyFont="1" applyBorder="1" applyAlignment="1">
      <alignment horizontal="right" vertical="center" wrapText="1"/>
    </xf>
    <xf numFmtId="181" fontId="7" fillId="0" borderId="33" xfId="0" applyNumberFormat="1" applyFont="1" applyBorder="1" applyAlignment="1">
      <alignment horizontal="center" vertical="center" wrapText="1"/>
    </xf>
    <xf numFmtId="181" fontId="7" fillId="0" borderId="31" xfId="0" applyNumberFormat="1" applyFont="1" applyBorder="1" applyAlignment="1">
      <alignment horizontal="center" vertical="center" wrapText="1"/>
    </xf>
    <xf numFmtId="0" fontId="23" fillId="70" borderId="16" xfId="0" applyFont="1" applyFill="1" applyBorder="1" applyAlignment="1">
      <alignment horizontal="center" vertical="center" wrapText="1"/>
    </xf>
    <xf numFmtId="0" fontId="23" fillId="70" borderId="17" xfId="0" applyFont="1" applyFill="1" applyBorder="1" applyAlignment="1">
      <alignment vertical="center" wrapText="1"/>
    </xf>
    <xf numFmtId="181" fontId="23" fillId="70" borderId="17" xfId="0" applyNumberFormat="1" applyFont="1" applyFill="1" applyBorder="1" applyAlignment="1">
      <alignment horizontal="center" vertical="center" wrapText="1"/>
    </xf>
    <xf numFmtId="181" fontId="2" fillId="70" borderId="17" xfId="0" applyNumberFormat="1" applyFont="1" applyFill="1" applyBorder="1" applyAlignment="1">
      <alignment horizontal="center" vertical="center" wrapText="1"/>
    </xf>
    <xf numFmtId="181" fontId="2" fillId="70" borderId="32" xfId="0" applyNumberFormat="1" applyFont="1" applyFill="1" applyBorder="1" applyAlignment="1">
      <alignment horizontal="center" vertical="center" wrapText="1"/>
    </xf>
    <xf numFmtId="0" fontId="20" fillId="0" borderId="3" xfId="0" applyFont="1" applyBorder="1" applyAlignment="1">
      <alignment horizontal="right" vertical="center" wrapText="1"/>
    </xf>
    <xf numFmtId="181" fontId="7" fillId="0" borderId="269" xfId="0" applyNumberFormat="1" applyFont="1" applyBorder="1" applyAlignment="1">
      <alignment horizontal="center" vertical="center" wrapText="1"/>
    </xf>
    <xf numFmtId="181" fontId="7" fillId="0" borderId="3" xfId="0" applyNumberFormat="1" applyFont="1" applyBorder="1" applyAlignment="1">
      <alignment horizontal="center" vertical="center" wrapText="1"/>
    </xf>
    <xf numFmtId="181" fontId="7" fillId="0" borderId="4" xfId="0" applyNumberFormat="1" applyFont="1" applyBorder="1" applyAlignment="1">
      <alignment horizontal="center" vertical="center" wrapText="1"/>
    </xf>
    <xf numFmtId="0" fontId="25" fillId="63" borderId="20" xfId="0" applyFont="1" applyFill="1" applyBorder="1" applyAlignment="1">
      <alignment horizontal="center" vertical="center" wrapText="1"/>
    </xf>
    <xf numFmtId="0" fontId="25" fillId="63" borderId="40" xfId="0" applyFont="1" applyFill="1" applyBorder="1" applyAlignment="1">
      <alignment vertical="center" wrapText="1"/>
    </xf>
    <xf numFmtId="181" fontId="25" fillId="63" borderId="40" xfId="0" applyNumberFormat="1" applyFont="1" applyFill="1" applyBorder="1" applyAlignment="1">
      <alignment horizontal="center" vertical="center" wrapText="1"/>
    </xf>
    <xf numFmtId="181" fontId="3" fillId="63" borderId="40" xfId="0" applyNumberFormat="1" applyFont="1" applyFill="1" applyBorder="1" applyAlignment="1">
      <alignment horizontal="center" vertical="center" wrapText="1"/>
    </xf>
    <xf numFmtId="181" fontId="3" fillId="63" borderId="271" xfId="0" applyNumberFormat="1" applyFont="1" applyFill="1" applyBorder="1" applyAlignment="1">
      <alignment horizontal="center" vertical="center" wrapText="1"/>
    </xf>
    <xf numFmtId="0" fontId="42" fillId="63" borderId="114" xfId="1092" applyFont="1" applyFill="1" applyBorder="1" applyAlignment="1">
      <alignment horizontal="left" wrapText="1"/>
    </xf>
    <xf numFmtId="0" fontId="279" fillId="63" borderId="115" xfId="1005" applyFont="1" applyFill="1" applyBorder="1" applyAlignment="1">
      <alignment horizontal="center"/>
    </xf>
    <xf numFmtId="2" fontId="279" fillId="63" borderId="115" xfId="1005" applyNumberFormat="1" applyFont="1" applyFill="1" applyBorder="1" applyAlignment="1">
      <alignment horizontal="center"/>
    </xf>
    <xf numFmtId="167" fontId="279" fillId="63" borderId="115" xfId="1005" applyNumberFormat="1" applyFont="1" applyFill="1" applyBorder="1" applyAlignment="1">
      <alignment horizontal="center"/>
    </xf>
    <xf numFmtId="167" fontId="279" fillId="63" borderId="116" xfId="1005" applyNumberFormat="1" applyFont="1" applyFill="1" applyBorder="1" applyAlignment="1">
      <alignment horizontal="center"/>
    </xf>
    <xf numFmtId="167" fontId="279" fillId="63" borderId="154" xfId="1005" applyNumberFormat="1" applyFont="1" applyFill="1" applyBorder="1" applyAlignment="1">
      <alignment horizontal="center"/>
    </xf>
    <xf numFmtId="0" fontId="43" fillId="63" borderId="115" xfId="1005" applyFont="1" applyFill="1" applyBorder="1"/>
    <xf numFmtId="167" fontId="279" fillId="63" borderId="118" xfId="1005" applyNumberFormat="1" applyFont="1" applyFill="1" applyBorder="1" applyAlignment="1">
      <alignment horizontal="center"/>
    </xf>
    <xf numFmtId="181" fontId="279" fillId="0" borderId="8" xfId="1005" applyNumberFormat="1" applyFont="1" applyFill="1" applyBorder="1" applyAlignment="1">
      <alignment horizontal="center"/>
    </xf>
    <xf numFmtId="167" fontId="279" fillId="0" borderId="8" xfId="1005" applyNumberFormat="1" applyFont="1" applyFill="1" applyBorder="1" applyAlignment="1">
      <alignment horizontal="center"/>
    </xf>
    <xf numFmtId="0" fontId="43" fillId="0" borderId="0" xfId="1005" applyFont="1" applyAlignment="1">
      <alignment horizontal="center"/>
    </xf>
    <xf numFmtId="167" fontId="43" fillId="0" borderId="143" xfId="1005" applyNumberFormat="1" applyFont="1" applyFill="1" applyBorder="1" applyAlignment="1">
      <alignment horizontal="center"/>
    </xf>
    <xf numFmtId="181" fontId="43" fillId="0" borderId="143" xfId="1005" applyNumberFormat="1" applyFont="1" applyFill="1" applyBorder="1" applyAlignment="1">
      <alignment horizontal="center"/>
    </xf>
    <xf numFmtId="0" fontId="3" fillId="0" borderId="0" xfId="0" applyFont="1" applyFill="1" applyBorder="1" applyAlignment="1">
      <alignment horizontal="center" vertical="top"/>
    </xf>
    <xf numFmtId="0" fontId="8" fillId="0" borderId="120" xfId="1061" applyFont="1" applyBorder="1" applyAlignment="1">
      <alignment horizontal="center" vertical="center"/>
    </xf>
    <xf numFmtId="0" fontId="8" fillId="0" borderId="3" xfId="1061" applyFont="1" applyBorder="1" applyAlignment="1">
      <alignment horizontal="left" vertical="distributed"/>
    </xf>
    <xf numFmtId="167" fontId="8" fillId="0" borderId="2" xfId="1061" applyNumberFormat="1" applyFont="1" applyBorder="1" applyAlignment="1">
      <alignment horizontal="center" vertical="distributed"/>
    </xf>
    <xf numFmtId="167" fontId="8" fillId="0" borderId="92" xfId="1061" applyNumberFormat="1" applyFont="1" applyBorder="1" applyAlignment="1">
      <alignment horizontal="center" vertical="distributed"/>
    </xf>
    <xf numFmtId="167" fontId="8" fillId="0" borderId="3" xfId="1061" applyNumberFormat="1" applyFont="1" applyBorder="1" applyAlignment="1">
      <alignment horizontal="center" vertical="distributed"/>
    </xf>
    <xf numFmtId="167" fontId="8" fillId="0" borderId="121" xfId="1061" applyNumberFormat="1" applyFont="1" applyBorder="1" applyAlignment="1">
      <alignment horizontal="center" vertical="distributed"/>
    </xf>
    <xf numFmtId="167" fontId="283" fillId="0" borderId="136" xfId="1061" applyNumberFormat="1" applyFont="1" applyBorder="1" applyAlignment="1">
      <alignment horizontal="center" vertical="distributed"/>
    </xf>
    <xf numFmtId="167" fontId="283" fillId="0" borderId="137" xfId="1061" applyNumberFormat="1" applyFont="1" applyBorder="1" applyAlignment="1">
      <alignment horizontal="center" vertical="distributed"/>
    </xf>
    <xf numFmtId="0" fontId="289" fillId="0" borderId="0" xfId="1061" applyFont="1" applyAlignment="1">
      <alignment horizontal="right"/>
    </xf>
    <xf numFmtId="3" fontId="290" fillId="0" borderId="0" xfId="1023" applyNumberFormat="1" applyFont="1" applyAlignment="1" applyProtection="1">
      <alignment horizontal="right" vertical="center"/>
      <protection locked="0"/>
    </xf>
    <xf numFmtId="168" fontId="290" fillId="0" borderId="0" xfId="1023" applyNumberFormat="1" applyFont="1" applyBorder="1" applyAlignment="1" applyProtection="1">
      <alignment horizontal="right"/>
      <protection hidden="1"/>
    </xf>
    <xf numFmtId="0" fontId="2"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0" fontId="42" fillId="0" borderId="135" xfId="0" applyFont="1" applyFill="1" applyBorder="1" applyAlignment="1">
      <alignment vertical="top" wrapText="1"/>
    </xf>
    <xf numFmtId="3" fontId="42" fillId="2" borderId="279" xfId="0" applyNumberFormat="1" applyFont="1" applyFill="1" applyBorder="1" applyAlignment="1">
      <alignment horizontal="center" vertical="top" wrapText="1"/>
    </xf>
    <xf numFmtId="3" fontId="267" fillId="0" borderId="36" xfId="0" applyNumberFormat="1" applyFont="1" applyBorder="1" applyAlignment="1">
      <alignment horizontal="center" vertical="top" wrapText="1"/>
    </xf>
    <xf numFmtId="3" fontId="267" fillId="0" borderId="33" xfId="0" applyNumberFormat="1" applyFont="1" applyBorder="1" applyAlignment="1">
      <alignment horizontal="center" vertical="top" wrapText="1"/>
    </xf>
    <xf numFmtId="3" fontId="35" fillId="0" borderId="33" xfId="0" applyNumberFormat="1" applyFont="1" applyBorder="1" applyAlignment="1">
      <alignment horizontal="center" vertical="top" wrapText="1"/>
    </xf>
    <xf numFmtId="0" fontId="13" fillId="0" borderId="135" xfId="0" applyFont="1" applyFill="1" applyBorder="1" applyAlignment="1">
      <alignment horizontal="right" vertical="center"/>
    </xf>
    <xf numFmtId="0" fontId="3" fillId="0" borderId="135" xfId="0" applyFont="1" applyFill="1" applyBorder="1" applyAlignment="1">
      <alignment vertical="top"/>
    </xf>
    <xf numFmtId="0" fontId="7" fillId="0" borderId="135" xfId="0" applyFont="1" applyFill="1" applyBorder="1" applyAlignment="1">
      <alignment horizontal="right" vertical="top"/>
    </xf>
    <xf numFmtId="0" fontId="20" fillId="0" borderId="0" xfId="0" applyFont="1" applyBorder="1" applyAlignment="1">
      <alignment horizontal="right" vertical="top"/>
    </xf>
    <xf numFmtId="0" fontId="13" fillId="0" borderId="0" xfId="0" applyFont="1" applyAlignment="1">
      <alignment horizontal="right"/>
    </xf>
    <xf numFmtId="0" fontId="3" fillId="0" borderId="135" xfId="0" applyFont="1" applyFill="1" applyBorder="1" applyAlignment="1"/>
    <xf numFmtId="0" fontId="7" fillId="0" borderId="135" xfId="0" applyFont="1" applyFill="1" applyBorder="1" applyAlignment="1">
      <alignment horizontal="right"/>
    </xf>
    <xf numFmtId="4" fontId="2" fillId="0" borderId="113" xfId="0" applyNumberFormat="1" applyFont="1" applyFill="1" applyBorder="1" applyAlignment="1">
      <alignment horizontal="center" vertical="center" wrapText="1"/>
    </xf>
    <xf numFmtId="167" fontId="3" fillId="63" borderId="92" xfId="0" applyNumberFormat="1" applyFont="1" applyFill="1" applyBorder="1" applyAlignment="1">
      <alignment horizontal="center" vertical="center" wrapText="1"/>
    </xf>
    <xf numFmtId="167" fontId="2" fillId="0" borderId="113" xfId="0" applyNumberFormat="1" applyFont="1" applyFill="1" applyBorder="1" applyAlignment="1">
      <alignment horizontal="center" vertical="center" wrapText="1"/>
    </xf>
    <xf numFmtId="167" fontId="40" fillId="0" borderId="92" xfId="0" applyNumberFormat="1" applyFont="1" applyBorder="1" applyAlignment="1">
      <alignment vertical="top" wrapText="1"/>
    </xf>
    <xf numFmtId="3" fontId="3" fillId="63" borderId="119" xfId="0" applyNumberFormat="1" applyFont="1" applyFill="1" applyBorder="1" applyAlignment="1">
      <alignment horizontal="center" vertical="center" wrapText="1"/>
    </xf>
    <xf numFmtId="0" fontId="24" fillId="0" borderId="0" xfId="0" applyFont="1" applyAlignment="1">
      <alignment horizontal="center"/>
    </xf>
    <xf numFmtId="0" fontId="13" fillId="0" borderId="0" xfId="1063" applyFont="1" applyAlignment="1">
      <alignment horizontal="right"/>
    </xf>
    <xf numFmtId="0" fontId="3" fillId="0" borderId="3" xfId="1063" applyFont="1" applyBorder="1" applyAlignment="1">
      <alignment horizontal="center" vertical="center" wrapText="1"/>
    </xf>
    <xf numFmtId="0" fontId="3" fillId="72" borderId="33" xfId="1063" applyFont="1" applyFill="1" applyBorder="1" applyAlignment="1">
      <alignment vertical="center" wrapText="1"/>
    </xf>
    <xf numFmtId="0" fontId="2" fillId="0" borderId="2" xfId="1063" applyFont="1" applyBorder="1" applyAlignment="1">
      <alignment vertical="center" wrapText="1"/>
    </xf>
    <xf numFmtId="49" fontId="2" fillId="0" borderId="2" xfId="1063" applyNumberFormat="1" applyFont="1" applyBorder="1" applyAlignment="1">
      <alignment vertical="center" wrapText="1"/>
    </xf>
    <xf numFmtId="0" fontId="3" fillId="72" borderId="2" xfId="1063" applyFont="1" applyFill="1" applyBorder="1" applyAlignment="1">
      <alignment vertical="center" wrapText="1"/>
    </xf>
    <xf numFmtId="0" fontId="3" fillId="0" borderId="2" xfId="1063" applyFont="1" applyBorder="1" applyAlignment="1">
      <alignment vertical="center" wrapText="1"/>
    </xf>
    <xf numFmtId="0" fontId="3" fillId="0" borderId="3" xfId="1063" applyFont="1" applyBorder="1" applyAlignment="1">
      <alignment vertical="center" wrapText="1"/>
    </xf>
    <xf numFmtId="0" fontId="3" fillId="73" borderId="40" xfId="1063" applyFont="1" applyFill="1" applyBorder="1" applyAlignment="1">
      <alignment vertical="center" wrapText="1"/>
    </xf>
    <xf numFmtId="0" fontId="3" fillId="0" borderId="2" xfId="0" applyFont="1" applyBorder="1" applyAlignment="1">
      <alignment horizontal="center" vertical="center" wrapText="1"/>
    </xf>
    <xf numFmtId="0" fontId="24" fillId="0" borderId="0" xfId="1087" applyFont="1" applyAlignment="1"/>
    <xf numFmtId="181" fontId="47" fillId="0" borderId="2" xfId="1023" applyNumberFormat="1" applyFont="1" applyFill="1" applyBorder="1" applyAlignment="1" applyProtection="1">
      <alignment horizontal="center" vertical="center"/>
      <protection hidden="1"/>
    </xf>
    <xf numFmtId="0" fontId="100" fillId="0" borderId="0" xfId="1023" applyFont="1" applyFill="1" applyAlignment="1" applyProtection="1">
      <alignment wrapText="1"/>
      <protection hidden="1"/>
    </xf>
    <xf numFmtId="0" fontId="100" fillId="0" borderId="0" xfId="1023" applyFont="1" applyFill="1" applyProtection="1">
      <protection hidden="1"/>
    </xf>
    <xf numFmtId="181" fontId="100" fillId="0" borderId="0" xfId="1023" applyNumberFormat="1" applyFont="1" applyFill="1" applyProtection="1">
      <protection hidden="1"/>
    </xf>
    <xf numFmtId="2" fontId="100" fillId="0" borderId="0" xfId="1023" applyNumberFormat="1" applyFont="1" applyFill="1" applyProtection="1">
      <protection hidden="1"/>
    </xf>
    <xf numFmtId="0" fontId="100" fillId="0" borderId="0" xfId="1023" applyFont="1" applyFill="1" applyBorder="1" applyAlignment="1" applyProtection="1">
      <alignment horizontal="center"/>
      <protection hidden="1"/>
    </xf>
    <xf numFmtId="0" fontId="151" fillId="0" borderId="0" xfId="1023" applyFont="1" applyFill="1" applyAlignment="1" applyProtection="1">
      <alignment wrapText="1"/>
      <protection hidden="1"/>
    </xf>
    <xf numFmtId="0" fontId="222" fillId="0" borderId="0" xfId="1023" applyFont="1" applyFill="1" applyBorder="1" applyAlignment="1" applyProtection="1">
      <protection hidden="1"/>
    </xf>
    <xf numFmtId="0" fontId="151" fillId="0" borderId="0" xfId="1023" applyFont="1" applyFill="1" applyBorder="1" applyAlignment="1" applyProtection="1">
      <protection hidden="1"/>
    </xf>
    <xf numFmtId="181" fontId="151" fillId="0" borderId="0" xfId="1023" applyNumberFormat="1" applyFont="1" applyFill="1" applyBorder="1" applyAlignment="1" applyProtection="1">
      <protection hidden="1"/>
    </xf>
    <xf numFmtId="0" fontId="100" fillId="0" borderId="0" xfId="1022" applyFont="1" applyFill="1" applyBorder="1" applyAlignment="1" applyProtection="1">
      <alignment horizontal="center" vertical="center" wrapText="1"/>
      <protection hidden="1"/>
    </xf>
    <xf numFmtId="181" fontId="100" fillId="0" borderId="0" xfId="1022" applyNumberFormat="1" applyFont="1" applyFill="1" applyBorder="1" applyAlignment="1" applyProtection="1">
      <alignment horizontal="center" vertical="center" wrapText="1"/>
      <protection hidden="1"/>
    </xf>
    <xf numFmtId="1" fontId="100" fillId="0" borderId="0" xfId="1022" applyNumberFormat="1" applyFont="1" applyFill="1" applyBorder="1" applyAlignment="1" applyProtection="1">
      <alignment horizontal="center" vertical="center" wrapText="1"/>
      <protection hidden="1"/>
    </xf>
    <xf numFmtId="0" fontId="151" fillId="0" borderId="0" xfId="1023" applyFont="1" applyFill="1" applyProtection="1">
      <protection hidden="1"/>
    </xf>
    <xf numFmtId="0" fontId="100" fillId="0" borderId="0" xfId="1023" applyFont="1" applyFill="1" applyProtection="1">
      <protection locked="0"/>
    </xf>
    <xf numFmtId="181" fontId="100" fillId="0" borderId="0" xfId="1023" applyNumberFormat="1" applyFont="1" applyFill="1" applyProtection="1">
      <protection locked="0"/>
    </xf>
    <xf numFmtId="2" fontId="100" fillId="0" borderId="0" xfId="1023" applyNumberFormat="1" applyFont="1" applyFill="1" applyProtection="1">
      <protection locked="0"/>
    </xf>
    <xf numFmtId="168" fontId="100" fillId="0" borderId="0" xfId="1023" applyNumberFormat="1" applyFont="1" applyFill="1" applyProtection="1">
      <protection locked="0"/>
    </xf>
    <xf numFmtId="0" fontId="100" fillId="0" borderId="0" xfId="1023" applyFont="1" applyFill="1" applyBorder="1" applyProtection="1">
      <protection hidden="1"/>
    </xf>
    <xf numFmtId="181" fontId="100" fillId="0" borderId="0" xfId="1023" applyNumberFormat="1" applyFont="1" applyFill="1" applyBorder="1" applyProtection="1">
      <protection hidden="1"/>
    </xf>
    <xf numFmtId="2" fontId="100" fillId="0" borderId="0" xfId="1023" applyNumberFormat="1" applyFont="1" applyFill="1" applyBorder="1" applyProtection="1">
      <protection hidden="1"/>
    </xf>
    <xf numFmtId="0" fontId="100" fillId="0" borderId="0" xfId="1023" applyFont="1" applyFill="1" applyBorder="1" applyAlignment="1" applyProtection="1">
      <alignment vertical="center" wrapText="1"/>
      <protection hidden="1"/>
    </xf>
    <xf numFmtId="181" fontId="100" fillId="0" borderId="2" xfId="1023" applyNumberFormat="1" applyFont="1" applyFill="1" applyBorder="1" applyAlignment="1" applyProtection="1">
      <alignment horizontal="center" vertical="center" wrapText="1"/>
      <protection hidden="1"/>
    </xf>
    <xf numFmtId="2" fontId="100" fillId="0" borderId="2" xfId="1023" applyNumberFormat="1" applyFont="1" applyFill="1" applyBorder="1" applyAlignment="1" applyProtection="1">
      <alignment horizontal="center" vertical="center" wrapText="1"/>
      <protection hidden="1"/>
    </xf>
    <xf numFmtId="0" fontId="100" fillId="0" borderId="0" xfId="1097" applyFont="1" applyFill="1" applyProtection="1">
      <protection locked="0"/>
    </xf>
    <xf numFmtId="181" fontId="100" fillId="0" borderId="0" xfId="1097" applyNumberFormat="1" applyFont="1" applyFill="1" applyProtection="1">
      <protection locked="0"/>
    </xf>
    <xf numFmtId="0" fontId="265" fillId="0" borderId="0" xfId="1023" applyFont="1" applyFill="1" applyProtection="1">
      <protection locked="0"/>
    </xf>
    <xf numFmtId="0" fontId="100" fillId="0" borderId="0" xfId="1023" applyFont="1" applyFill="1" applyAlignment="1" applyProtection="1">
      <alignment wrapText="1"/>
      <protection locked="0"/>
    </xf>
    <xf numFmtId="181" fontId="100" fillId="0" borderId="42" xfId="1023" applyNumberFormat="1" applyFont="1" applyBorder="1" applyAlignment="1" applyProtection="1">
      <alignment horizontal="center"/>
      <protection hidden="1"/>
    </xf>
    <xf numFmtId="181" fontId="100" fillId="0" borderId="8" xfId="3" applyNumberFormat="1" applyFont="1" applyBorder="1" applyAlignment="1" applyProtection="1">
      <alignment horizontal="center"/>
      <protection hidden="1"/>
    </xf>
    <xf numFmtId="181" fontId="100" fillId="0" borderId="117" xfId="1023" applyNumberFormat="1" applyFont="1" applyBorder="1" applyAlignment="1" applyProtection="1">
      <alignment horizontal="center"/>
      <protection hidden="1"/>
    </xf>
    <xf numFmtId="181" fontId="100" fillId="0" borderId="118" xfId="3" applyNumberFormat="1" applyFont="1" applyBorder="1" applyAlignment="1" applyProtection="1">
      <alignment horizontal="center"/>
      <protection hidden="1"/>
    </xf>
    <xf numFmtId="181" fontId="100" fillId="0" borderId="2" xfId="1097" applyNumberFormat="1" applyFont="1" applyFill="1" applyBorder="1" applyAlignment="1" applyProtection="1">
      <alignment horizontal="center"/>
      <protection hidden="1"/>
    </xf>
    <xf numFmtId="0" fontId="100" fillId="0" borderId="25" xfId="1023" applyFont="1" applyFill="1" applyBorder="1" applyAlignment="1" applyProtection="1">
      <alignment horizontal="center"/>
      <protection hidden="1"/>
    </xf>
    <xf numFmtId="181" fontId="100" fillId="0" borderId="17" xfId="1097" applyNumberFormat="1" applyFont="1" applyFill="1" applyBorder="1" applyAlignment="1" applyProtection="1">
      <alignment horizontal="center"/>
      <protection hidden="1"/>
    </xf>
    <xf numFmtId="181" fontId="100" fillId="0" borderId="3" xfId="1097" applyNumberFormat="1" applyFont="1" applyFill="1" applyBorder="1" applyAlignment="1" applyProtection="1">
      <alignment horizontal="center"/>
      <protection hidden="1"/>
    </xf>
    <xf numFmtId="0" fontId="100" fillId="0" borderId="38" xfId="1023" applyFont="1" applyFill="1" applyBorder="1" applyAlignment="1" applyProtection="1">
      <alignment horizontal="center"/>
      <protection hidden="1"/>
    </xf>
    <xf numFmtId="181" fontId="100" fillId="0" borderId="60" xfId="1097" applyNumberFormat="1" applyFont="1" applyFill="1" applyBorder="1" applyAlignment="1" applyProtection="1">
      <alignment horizontal="center"/>
      <protection hidden="1"/>
    </xf>
    <xf numFmtId="181" fontId="100" fillId="0" borderId="8" xfId="1097" applyNumberFormat="1" applyFont="1" applyFill="1" applyBorder="1" applyAlignment="1" applyProtection="1">
      <alignment horizontal="center"/>
      <protection hidden="1"/>
    </xf>
    <xf numFmtId="181" fontId="100" fillId="0" borderId="71" xfId="1097" applyNumberFormat="1" applyFont="1" applyFill="1" applyBorder="1" applyAlignment="1" applyProtection="1">
      <alignment horizontal="center"/>
      <protection hidden="1"/>
    </xf>
    <xf numFmtId="0" fontId="100" fillId="0" borderId="50" xfId="1023" applyFont="1" applyFill="1" applyBorder="1" applyAlignment="1" applyProtection="1">
      <alignment horizontal="center"/>
      <protection hidden="1"/>
    </xf>
    <xf numFmtId="2" fontId="100" fillId="0" borderId="5" xfId="1023" applyNumberFormat="1" applyFont="1" applyFill="1" applyBorder="1" applyAlignment="1" applyProtection="1">
      <alignment horizontal="center" vertical="center" wrapText="1"/>
      <protection hidden="1"/>
    </xf>
    <xf numFmtId="0" fontId="100" fillId="0" borderId="24" xfId="1023" applyFont="1" applyFill="1" applyBorder="1" applyAlignment="1" applyProtection="1">
      <alignment horizontal="center"/>
      <protection hidden="1"/>
    </xf>
    <xf numFmtId="0" fontId="100" fillId="0" borderId="26" xfId="1023" applyFont="1" applyFill="1" applyBorder="1" applyAlignment="1" applyProtection="1">
      <alignment horizontal="center"/>
      <protection hidden="1"/>
    </xf>
    <xf numFmtId="181" fontId="100" fillId="0" borderId="32" xfId="1097" applyNumberFormat="1" applyFont="1" applyFill="1" applyBorder="1" applyAlignment="1" applyProtection="1">
      <alignment horizontal="center"/>
      <protection hidden="1"/>
    </xf>
    <xf numFmtId="181" fontId="100" fillId="0" borderId="5" xfId="1097" applyNumberFormat="1" applyFont="1" applyFill="1" applyBorder="1" applyAlignment="1" applyProtection="1">
      <alignment horizontal="center"/>
      <protection hidden="1"/>
    </xf>
    <xf numFmtId="181" fontId="100" fillId="0" borderId="4" xfId="1097" applyNumberFormat="1" applyFont="1" applyFill="1" applyBorder="1" applyAlignment="1" applyProtection="1">
      <alignment horizontal="center"/>
      <protection hidden="1"/>
    </xf>
    <xf numFmtId="2" fontId="100" fillId="0" borderId="8" xfId="1023" applyNumberFormat="1" applyFont="1" applyFill="1" applyBorder="1" applyAlignment="1" applyProtection="1">
      <alignment horizontal="center" vertical="center" wrapText="1"/>
      <protection hidden="1"/>
    </xf>
    <xf numFmtId="181" fontId="100" fillId="0" borderId="59" xfId="1099" applyNumberFormat="1" applyFont="1" applyFill="1" applyBorder="1" applyAlignment="1" applyProtection="1">
      <alignment horizontal="center"/>
      <protection hidden="1"/>
    </xf>
    <xf numFmtId="181" fontId="100" fillId="0" borderId="42" xfId="1099" applyNumberFormat="1" applyFont="1" applyFill="1" applyBorder="1" applyAlignment="1" applyProtection="1">
      <alignment horizontal="center"/>
      <protection hidden="1"/>
    </xf>
    <xf numFmtId="181" fontId="100" fillId="0" borderId="70" xfId="1099" applyNumberFormat="1" applyFont="1" applyFill="1" applyBorder="1" applyAlignment="1" applyProtection="1">
      <alignment horizontal="center"/>
      <protection hidden="1"/>
    </xf>
    <xf numFmtId="0" fontId="100" fillId="0" borderId="27" xfId="1023" applyFont="1" applyFill="1" applyBorder="1" applyAlignment="1" applyProtection="1">
      <alignment horizontal="center"/>
      <protection hidden="1"/>
    </xf>
    <xf numFmtId="3" fontId="100" fillId="0" borderId="18" xfId="1097" applyNumberFormat="1" applyFont="1" applyFill="1" applyBorder="1" applyAlignment="1" applyProtection="1">
      <alignment horizontal="center"/>
      <protection hidden="1"/>
    </xf>
    <xf numFmtId="3" fontId="100" fillId="0" borderId="9" xfId="1097" applyNumberFormat="1" applyFont="1" applyFill="1" applyBorder="1" applyAlignment="1" applyProtection="1">
      <alignment horizontal="center"/>
      <protection hidden="1"/>
    </xf>
    <xf numFmtId="0" fontId="100" fillId="0" borderId="42" xfId="1023" applyFont="1" applyFill="1" applyBorder="1" applyAlignment="1" applyProtection="1">
      <alignment horizontal="center" vertical="center" wrapText="1"/>
      <protection hidden="1"/>
    </xf>
    <xf numFmtId="0" fontId="100" fillId="0" borderId="2" xfId="1023" applyFont="1" applyFill="1" applyBorder="1" applyAlignment="1" applyProtection="1">
      <alignment horizontal="center" vertical="center" wrapText="1"/>
      <protection hidden="1"/>
    </xf>
    <xf numFmtId="0" fontId="100" fillId="0" borderId="8" xfId="1023" applyFont="1" applyFill="1" applyBorder="1" applyAlignment="1" applyProtection="1">
      <alignment horizontal="center" vertical="center" wrapText="1"/>
      <protection hidden="1"/>
    </xf>
    <xf numFmtId="0" fontId="100" fillId="0" borderId="1" xfId="1023" applyFont="1" applyFill="1" applyBorder="1" applyAlignment="1" applyProtection="1">
      <alignment horizontal="center" vertical="center" wrapText="1"/>
      <protection hidden="1"/>
    </xf>
    <xf numFmtId="0" fontId="24" fillId="0" borderId="0" xfId="0" applyFont="1" applyBorder="1" applyAlignment="1">
      <alignment horizontal="left" vertical="top" wrapText="1"/>
    </xf>
    <xf numFmtId="2" fontId="12" fillId="0" borderId="0" xfId="0" applyNumberFormat="1" applyFont="1" applyAlignment="1">
      <alignment vertical="top" wrapText="1"/>
    </xf>
    <xf numFmtId="181" fontId="265" fillId="0" borderId="0" xfId="1023" applyNumberFormat="1" applyFont="1" applyFill="1" applyProtection="1">
      <protection locked="0"/>
    </xf>
    <xf numFmtId="2" fontId="22" fillId="0" borderId="0" xfId="0" applyNumberFormat="1" applyFont="1" applyAlignment="1">
      <alignment vertical="top" wrapText="1"/>
    </xf>
    <xf numFmtId="2" fontId="0" fillId="0" borderId="0" xfId="0" applyNumberFormat="1" applyAlignment="1">
      <alignment vertical="top" wrapText="1"/>
    </xf>
    <xf numFmtId="2" fontId="265" fillId="0" borderId="0" xfId="1023" applyNumberFormat="1" applyFont="1" applyFill="1" applyProtection="1">
      <protection locked="0"/>
    </xf>
    <xf numFmtId="3" fontId="2" fillId="74" borderId="267" xfId="1096" applyNumberFormat="1" applyFont="1" applyFill="1" applyBorder="1" applyAlignment="1">
      <alignment horizontal="center" wrapText="1"/>
    </xf>
    <xf numFmtId="3" fontId="3" fillId="0" borderId="2" xfId="1063" applyNumberFormat="1" applyFont="1" applyBorder="1" applyAlignment="1">
      <alignment horizontal="center" vertical="center" wrapText="1"/>
    </xf>
    <xf numFmtId="0" fontId="265" fillId="0" borderId="0" xfId="1023" applyFont="1" applyFill="1" applyBorder="1" applyAlignment="1" applyProtection="1">
      <alignment horizontal="center" wrapText="1"/>
      <protection hidden="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51" fillId="0" borderId="60" xfId="1023" applyFont="1" applyFill="1" applyBorder="1" applyAlignment="1" applyProtection="1">
      <protection hidden="1"/>
    </xf>
    <xf numFmtId="0" fontId="151" fillId="0" borderId="28" xfId="1023" applyFont="1" applyFill="1" applyBorder="1" applyAlignment="1" applyProtection="1">
      <protection hidden="1"/>
    </xf>
    <xf numFmtId="0" fontId="100" fillId="0" borderId="27" xfId="1023" applyFont="1" applyFill="1" applyBorder="1" applyAlignment="1" applyProtection="1">
      <alignment horizontal="center" wrapText="1"/>
      <protection hidden="1"/>
    </xf>
    <xf numFmtId="0" fontId="100" fillId="0" borderId="101" xfId="1023" applyFont="1" applyFill="1" applyBorder="1" applyAlignment="1" applyProtection="1">
      <alignment horizontal="center" wrapText="1"/>
      <protection hidden="1"/>
    </xf>
    <xf numFmtId="0" fontId="47" fillId="5" borderId="15" xfId="1099" applyFont="1" applyFill="1" applyBorder="1" applyAlignment="1" applyProtection="1">
      <alignment horizontal="left" vertical="center" wrapText="1"/>
      <protection locked="0"/>
    </xf>
    <xf numFmtId="0" fontId="47" fillId="5" borderId="10" xfId="1099" applyFont="1" applyFill="1" applyBorder="1" applyAlignment="1" applyProtection="1">
      <alignment vertical="center" wrapText="1"/>
      <protection locked="0"/>
    </xf>
    <xf numFmtId="2" fontId="47" fillId="5" borderId="10" xfId="1099" applyNumberFormat="1" applyFont="1" applyFill="1" applyBorder="1" applyAlignment="1" applyProtection="1">
      <alignment vertical="center" wrapText="1"/>
      <protection locked="0"/>
    </xf>
    <xf numFmtId="2" fontId="47" fillId="5" borderId="7" xfId="1099" applyNumberFormat="1" applyFont="1" applyFill="1" applyBorder="1" applyAlignment="1" applyProtection="1">
      <alignment vertical="center" wrapText="1"/>
      <protection locked="0"/>
    </xf>
    <xf numFmtId="3" fontId="265" fillId="75" borderId="21" xfId="1023" applyNumberFormat="1" applyFont="1" applyFill="1" applyBorder="1" applyAlignment="1" applyProtection="1">
      <alignment horizontal="center"/>
      <protection locked="0"/>
    </xf>
    <xf numFmtId="0" fontId="295" fillId="0" borderId="0" xfId="0" applyFont="1" applyAlignment="1">
      <alignment vertical="top" wrapText="1"/>
    </xf>
    <xf numFmtId="0" fontId="2" fillId="0" borderId="17" xfId="1087" applyFont="1" applyBorder="1" applyAlignment="1">
      <alignment horizontal="center" vertical="center"/>
    </xf>
    <xf numFmtId="0" fontId="2" fillId="0" borderId="1" xfId="1090" applyNumberFormat="1" applyFont="1" applyFill="1" applyBorder="1" applyAlignment="1" applyProtection="1">
      <alignment horizontal="left" vertical="center" wrapText="1"/>
    </xf>
    <xf numFmtId="3" fontId="276" fillId="64" borderId="2" xfId="1062" applyNumberFormat="1" applyFont="1" applyFill="1" applyBorder="1" applyAlignment="1">
      <alignment horizontal="center" vertical="center"/>
    </xf>
    <xf numFmtId="0" fontId="3" fillId="0" borderId="3" xfId="0" applyFont="1" applyBorder="1" applyAlignment="1">
      <alignment horizontal="center" vertical="center"/>
    </xf>
    <xf numFmtId="3" fontId="276" fillId="70" borderId="2" xfId="1062" applyNumberFormat="1" applyFont="1" applyFill="1" applyBorder="1" applyAlignment="1">
      <alignment horizontal="center" vertical="center"/>
    </xf>
    <xf numFmtId="0" fontId="271" fillId="0" borderId="0" xfId="1062" applyFont="1" applyAlignment="1">
      <alignment horizontal="center" vertical="center"/>
    </xf>
    <xf numFmtId="0" fontId="3" fillId="0" borderId="4" xfId="1063" applyFont="1" applyBorder="1" applyAlignment="1">
      <alignment horizontal="center" vertical="center" wrapText="1"/>
    </xf>
    <xf numFmtId="0" fontId="3" fillId="72" borderId="30" xfId="1063" applyFont="1" applyFill="1" applyBorder="1" applyAlignment="1">
      <alignment horizontal="center" vertical="center"/>
    </xf>
    <xf numFmtId="16" fontId="2" fillId="0" borderId="1" xfId="1063" applyNumberFormat="1" applyFont="1" applyBorder="1" applyAlignment="1">
      <alignment horizontal="center" vertical="center"/>
    </xf>
    <xf numFmtId="0" fontId="2" fillId="0" borderId="1" xfId="1063" applyFont="1" applyBorder="1" applyAlignment="1">
      <alignment horizontal="center" vertical="center"/>
    </xf>
    <xf numFmtId="0" fontId="3" fillId="72" borderId="1" xfId="1063" applyFont="1" applyFill="1" applyBorder="1" applyAlignment="1">
      <alignment horizontal="center" vertical="center"/>
    </xf>
    <xf numFmtId="0" fontId="3" fillId="0" borderId="1" xfId="1063" applyFont="1" applyBorder="1" applyAlignment="1">
      <alignment horizontal="center" vertical="center"/>
    </xf>
    <xf numFmtId="0" fontId="3" fillId="0" borderId="11" xfId="1063" applyFont="1" applyBorder="1" applyAlignment="1">
      <alignment horizontal="center" vertical="center"/>
    </xf>
    <xf numFmtId="0" fontId="3" fillId="73" borderId="20" xfId="1063" applyFont="1" applyFill="1" applyBorder="1" applyAlignment="1">
      <alignment horizontal="center" vertical="center"/>
    </xf>
    <xf numFmtId="0" fontId="2" fillId="0" borderId="1" xfId="1061" applyFont="1" applyFill="1" applyBorder="1" applyAlignment="1">
      <alignment horizontal="center" vertical="center" wrapText="1"/>
    </xf>
    <xf numFmtId="0" fontId="2" fillId="0" borderId="11" xfId="1061" applyFont="1" applyFill="1" applyBorder="1" applyAlignment="1">
      <alignment horizontal="center" vertical="top" wrapText="1"/>
    </xf>
    <xf numFmtId="0" fontId="2" fillId="0" borderId="3" xfId="1061" applyFont="1" applyBorder="1" applyAlignment="1">
      <alignment wrapText="1"/>
    </xf>
    <xf numFmtId="0" fontId="49" fillId="0" borderId="41" xfId="1063" applyBorder="1" applyAlignment="1">
      <alignment horizontal="center" vertical="center"/>
    </xf>
    <xf numFmtId="0" fontId="49" fillId="0" borderId="54" xfId="1063" applyBorder="1" applyAlignment="1">
      <alignment vertical="center"/>
    </xf>
    <xf numFmtId="167" fontId="49" fillId="0" borderId="54" xfId="1063" applyNumberFormat="1" applyBorder="1" applyAlignment="1">
      <alignment vertical="center"/>
    </xf>
    <xf numFmtId="167" fontId="49" fillId="0" borderId="250" xfId="1063" applyNumberFormat="1" applyBorder="1" applyAlignment="1">
      <alignment vertical="center"/>
    </xf>
    <xf numFmtId="0" fontId="3" fillId="0" borderId="2" xfId="1061" applyFont="1" applyBorder="1" applyAlignment="1">
      <alignment vertical="center" wrapText="1"/>
    </xf>
    <xf numFmtId="0" fontId="3" fillId="0" borderId="16" xfId="1061" applyFont="1" applyFill="1" applyBorder="1" applyAlignment="1">
      <alignment horizontal="center" vertical="center" wrapText="1"/>
    </xf>
    <xf numFmtId="0" fontId="2" fillId="0" borderId="17" xfId="1061" applyFont="1" applyBorder="1" applyAlignment="1">
      <alignment horizontal="right" vertical="center" wrapText="1"/>
    </xf>
    <xf numFmtId="0" fontId="3" fillId="0" borderId="1" xfId="1061" applyFont="1" applyFill="1" applyBorder="1" applyAlignment="1">
      <alignment horizontal="center" vertical="center" wrapText="1"/>
    </xf>
    <xf numFmtId="0" fontId="2" fillId="0" borderId="1" xfId="1061" applyFont="1" applyFill="1" applyBorder="1" applyAlignment="1">
      <alignment horizontal="center" vertical="top" wrapText="1"/>
    </xf>
    <xf numFmtId="3" fontId="24" fillId="0" borderId="102" xfId="0" applyNumberFormat="1" applyFont="1" applyBorder="1" applyAlignment="1">
      <alignment horizontal="center" vertical="top" wrapText="1"/>
    </xf>
    <xf numFmtId="3" fontId="24" fillId="0" borderId="32" xfId="0" applyNumberFormat="1" applyFont="1" applyBorder="1" applyAlignment="1">
      <alignment horizontal="center" vertical="top" wrapText="1"/>
    </xf>
    <xf numFmtId="3" fontId="24" fillId="0" borderId="134" xfId="0" applyNumberFormat="1" applyFont="1" applyBorder="1" applyAlignment="1">
      <alignment horizontal="center" vertical="top" wrapText="1"/>
    </xf>
    <xf numFmtId="3" fontId="24" fillId="0" borderId="5" xfId="0" applyNumberFormat="1" applyFont="1" applyBorder="1" applyAlignment="1">
      <alignment horizontal="center" vertical="top" wrapText="1"/>
    </xf>
    <xf numFmtId="3" fontId="24" fillId="0" borderId="92" xfId="0" applyNumberFormat="1" applyFont="1" applyBorder="1" applyAlignment="1">
      <alignment horizontal="center" vertical="top" wrapText="1"/>
    </xf>
    <xf numFmtId="3" fontId="24" fillId="0" borderId="31" xfId="0" applyNumberFormat="1" applyFont="1" applyBorder="1" applyAlignment="1">
      <alignment horizontal="center" vertical="top" wrapText="1"/>
    </xf>
    <xf numFmtId="3" fontId="24" fillId="0" borderId="26" xfId="0" applyNumberFormat="1" applyFont="1" applyBorder="1" applyAlignment="1">
      <alignment horizontal="center" vertical="top" wrapText="1"/>
    </xf>
    <xf numFmtId="3" fontId="24" fillId="0" borderId="111" xfId="0" applyNumberFormat="1" applyFont="1" applyBorder="1" applyAlignment="1">
      <alignment horizontal="center" vertical="top" wrapText="1"/>
    </xf>
    <xf numFmtId="3" fontId="42" fillId="2" borderId="152" xfId="0" applyNumberFormat="1" applyFont="1" applyFill="1" applyBorder="1" applyAlignment="1">
      <alignment horizontal="center" vertical="top" wrapText="1"/>
    </xf>
    <xf numFmtId="3" fontId="42" fillId="2" borderId="169" xfId="0" applyNumberFormat="1" applyFont="1" applyFill="1" applyBorder="1" applyAlignment="1">
      <alignment horizontal="center" vertical="top" wrapText="1"/>
    </xf>
    <xf numFmtId="3" fontId="42" fillId="2" borderId="171" xfId="0" applyNumberFormat="1" applyFont="1" applyFill="1" applyBorder="1" applyAlignment="1">
      <alignment horizontal="center" vertical="top" wrapText="1"/>
    </xf>
    <xf numFmtId="3" fontId="2" fillId="0" borderId="5" xfId="1061" applyNumberFormat="1" applyFont="1" applyFill="1" applyBorder="1" applyAlignment="1">
      <alignment horizontal="center" vertical="top" wrapText="1"/>
    </xf>
    <xf numFmtId="0" fontId="2" fillId="0" borderId="3" xfId="1061" applyFont="1" applyFill="1" applyBorder="1" applyAlignment="1">
      <alignment horizontal="justify" vertical="top" wrapText="1"/>
    </xf>
    <xf numFmtId="1" fontId="2" fillId="0" borderId="4" xfId="1061" applyNumberFormat="1" applyFont="1" applyFill="1" applyBorder="1" applyAlignment="1">
      <alignment horizontal="center" vertical="top" wrapText="1"/>
    </xf>
    <xf numFmtId="0" fontId="2" fillId="0" borderId="30" xfId="1061" applyFont="1" applyFill="1" applyBorder="1" applyAlignment="1">
      <alignment horizontal="center" vertical="top" wrapText="1"/>
    </xf>
    <xf numFmtId="0" fontId="2" fillId="0" borderId="33" xfId="1061" applyFont="1" applyFill="1" applyBorder="1" applyAlignment="1">
      <alignment horizontal="justify" vertical="top" wrapText="1"/>
    </xf>
    <xf numFmtId="3" fontId="2" fillId="0" borderId="31" xfId="1061" applyNumberFormat="1" applyFont="1" applyFill="1" applyBorder="1" applyAlignment="1">
      <alignment horizontal="center" vertical="top" wrapText="1"/>
    </xf>
    <xf numFmtId="0" fontId="3" fillId="0" borderId="22" xfId="1061" applyFont="1" applyFill="1" applyBorder="1" applyAlignment="1">
      <alignment horizontal="center" vertical="top" wrapText="1"/>
    </xf>
    <xf numFmtId="0" fontId="3" fillId="0" borderId="247" xfId="1061" applyFont="1" applyFill="1" applyBorder="1" applyAlignment="1">
      <alignment horizontal="center" wrapText="1"/>
    </xf>
    <xf numFmtId="0" fontId="3" fillId="0" borderId="248" xfId="1061" applyFont="1" applyFill="1" applyBorder="1" applyAlignment="1">
      <alignment horizontal="center" wrapText="1"/>
    </xf>
    <xf numFmtId="3" fontId="25" fillId="0" borderId="33" xfId="0" applyNumberFormat="1" applyFont="1" applyBorder="1" applyAlignment="1">
      <alignment horizontal="center" vertical="center" wrapText="1"/>
    </xf>
    <xf numFmtId="3" fontId="25" fillId="0" borderId="274" xfId="0" applyNumberFormat="1" applyFont="1" applyBorder="1" applyAlignment="1">
      <alignment horizontal="center" vertical="center" wrapText="1"/>
    </xf>
    <xf numFmtId="3" fontId="25" fillId="0" borderId="31" xfId="0" applyNumberFormat="1" applyFont="1" applyBorder="1" applyAlignment="1">
      <alignment horizontal="center" vertical="center" wrapText="1"/>
    </xf>
    <xf numFmtId="3" fontId="23" fillId="0" borderId="2"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42" fillId="0" borderId="14" xfId="0" applyFont="1" applyBorder="1" applyAlignment="1">
      <alignment horizontal="center" vertical="center" wrapText="1"/>
    </xf>
    <xf numFmtId="0" fontId="42" fillId="0" borderId="6" xfId="0" applyFont="1" applyBorder="1" applyAlignment="1">
      <alignment vertical="center" wrapText="1"/>
    </xf>
    <xf numFmtId="0" fontId="42" fillId="0" borderId="21" xfId="0" applyFont="1" applyBorder="1" applyAlignment="1">
      <alignment horizontal="center" vertical="center" wrapText="1"/>
    </xf>
    <xf numFmtId="0" fontId="42" fillId="0" borderId="252" xfId="0" applyFont="1" applyBorder="1" applyAlignment="1">
      <alignment vertical="center" wrapText="1"/>
    </xf>
    <xf numFmtId="3" fontId="42" fillId="0" borderId="252" xfId="0" applyNumberFormat="1" applyFont="1" applyBorder="1" applyAlignment="1">
      <alignment horizontal="center" vertical="center" wrapText="1"/>
    </xf>
    <xf numFmtId="0" fontId="42" fillId="0" borderId="252" xfId="0" applyFont="1" applyBorder="1" applyAlignment="1">
      <alignment horizontal="center" vertical="center" wrapText="1"/>
    </xf>
    <xf numFmtId="0" fontId="13" fillId="0" borderId="252" xfId="0" applyFont="1" applyBorder="1" applyAlignment="1">
      <alignment horizontal="center" vertical="center" wrapText="1"/>
    </xf>
    <xf numFmtId="0" fontId="296" fillId="0" borderId="252" xfId="0" applyFont="1" applyBorder="1" applyAlignment="1">
      <alignment horizontal="center" vertical="center" wrapText="1"/>
    </xf>
    <xf numFmtId="0" fontId="24" fillId="0" borderId="21" xfId="0" applyFont="1" applyBorder="1" applyAlignment="1">
      <alignment horizontal="center" vertical="center" wrapText="1"/>
    </xf>
    <xf numFmtId="0" fontId="13" fillId="0" borderId="252" xfId="0" applyFont="1" applyBorder="1" applyAlignment="1">
      <alignment vertical="center" wrapText="1"/>
    </xf>
    <xf numFmtId="0" fontId="13" fillId="0" borderId="21" xfId="0" applyFont="1" applyBorder="1" applyAlignment="1">
      <alignment horizontal="center" vertical="center" wrapText="1"/>
    </xf>
    <xf numFmtId="3" fontId="13" fillId="0" borderId="252" xfId="0" applyNumberFormat="1" applyFont="1" applyBorder="1" applyAlignment="1">
      <alignment horizontal="center" vertical="center" wrapText="1"/>
    </xf>
    <xf numFmtId="3" fontId="296" fillId="0" borderId="252" xfId="0" applyNumberFormat="1" applyFont="1" applyBorder="1" applyAlignment="1">
      <alignment horizontal="center" vertical="center" wrapText="1"/>
    </xf>
    <xf numFmtId="0" fontId="42" fillId="0" borderId="53" xfId="0" applyFont="1" applyBorder="1" applyAlignment="1">
      <alignment vertical="center" wrapText="1"/>
    </xf>
    <xf numFmtId="3" fontId="42" fillId="0" borderId="6" xfId="0" applyNumberFormat="1" applyFont="1" applyBorder="1" applyAlignment="1">
      <alignment horizontal="center" vertical="center" wrapText="1"/>
    </xf>
    <xf numFmtId="3" fontId="23" fillId="0" borderId="33" xfId="0" applyNumberFormat="1" applyFont="1" applyBorder="1" applyAlignment="1">
      <alignment horizontal="center" vertical="center" wrapText="1"/>
    </xf>
    <xf numFmtId="3" fontId="23" fillId="0" borderId="35" xfId="0" applyNumberFormat="1" applyFont="1" applyBorder="1" applyAlignment="1">
      <alignment horizontal="center" vertical="center" wrapText="1"/>
    </xf>
    <xf numFmtId="3" fontId="25" fillId="0" borderId="18" xfId="0" applyNumberFormat="1" applyFont="1" applyBorder="1" applyAlignment="1">
      <alignment horizontal="center" vertical="center" wrapText="1"/>
    </xf>
    <xf numFmtId="3" fontId="23" fillId="0" borderId="8" xfId="0" applyNumberFormat="1" applyFont="1" applyBorder="1" applyAlignment="1">
      <alignment horizontal="center" vertical="center" wrapText="1"/>
    </xf>
    <xf numFmtId="3" fontId="25" fillId="0" borderId="9" xfId="0" applyNumberFormat="1" applyFont="1" applyBorder="1" applyAlignment="1">
      <alignment horizontal="center" vertical="center" wrapText="1"/>
    </xf>
    <xf numFmtId="3" fontId="24" fillId="0" borderId="2"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3" fontId="23" fillId="0" borderId="71" xfId="0" applyNumberFormat="1" applyFont="1" applyBorder="1" applyAlignment="1">
      <alignment horizontal="center" vertical="center" wrapText="1"/>
    </xf>
    <xf numFmtId="3" fontId="25" fillId="0" borderId="1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67" fontId="3" fillId="72" borderId="33" xfId="1063" applyNumberFormat="1" applyFont="1" applyFill="1" applyBorder="1" applyAlignment="1">
      <alignment horizontal="center" vertical="center" wrapText="1"/>
    </xf>
    <xf numFmtId="167" fontId="3" fillId="72" borderId="31" xfId="1063" applyNumberFormat="1" applyFont="1" applyFill="1" applyBorder="1" applyAlignment="1">
      <alignment horizontal="center" vertical="center" wrapText="1"/>
    </xf>
    <xf numFmtId="167" fontId="2" fillId="0" borderId="2" xfId="1063" applyNumberFormat="1" applyFont="1" applyBorder="1" applyAlignment="1">
      <alignment horizontal="center" vertical="center" wrapText="1"/>
    </xf>
    <xf numFmtId="167" fontId="3" fillId="0" borderId="5" xfId="1063" applyNumberFormat="1" applyFont="1" applyBorder="1" applyAlignment="1">
      <alignment horizontal="center" vertical="center" wrapText="1"/>
    </xf>
    <xf numFmtId="167" fontId="3" fillId="72" borderId="2" xfId="1063" applyNumberFormat="1" applyFont="1" applyFill="1" applyBorder="1" applyAlignment="1">
      <alignment horizontal="center" vertical="center" wrapText="1"/>
    </xf>
    <xf numFmtId="167" fontId="3" fillId="72" borderId="5" xfId="1063" applyNumberFormat="1" applyFont="1" applyFill="1" applyBorder="1" applyAlignment="1">
      <alignment horizontal="center" vertical="center" wrapText="1"/>
    </xf>
    <xf numFmtId="167" fontId="3" fillId="0" borderId="2" xfId="1063" applyNumberFormat="1" applyFont="1" applyBorder="1" applyAlignment="1">
      <alignment horizontal="center" vertical="center" wrapText="1"/>
    </xf>
    <xf numFmtId="167" fontId="2" fillId="64" borderId="2" xfId="1063" applyNumberFormat="1" applyFont="1" applyFill="1" applyBorder="1" applyAlignment="1">
      <alignment horizontal="center" vertical="center" wrapText="1"/>
    </xf>
    <xf numFmtId="167" fontId="3" fillId="0" borderId="3" xfId="1063" applyNumberFormat="1" applyFont="1" applyBorder="1" applyAlignment="1">
      <alignment horizontal="center" vertical="center" wrapText="1"/>
    </xf>
    <xf numFmtId="167" fontId="3" fillId="73" borderId="40" xfId="1063" applyNumberFormat="1" applyFont="1" applyFill="1" applyBorder="1" applyAlignment="1">
      <alignment horizontal="center" vertical="center" wrapText="1"/>
    </xf>
    <xf numFmtId="167" fontId="3" fillId="73" borderId="271" xfId="1063" applyNumberFormat="1" applyFont="1" applyFill="1" applyBorder="1" applyAlignment="1">
      <alignment horizontal="center" vertical="center" wrapText="1"/>
    </xf>
    <xf numFmtId="167" fontId="2" fillId="0" borderId="17" xfId="1061" applyNumberFormat="1" applyFont="1" applyBorder="1" applyAlignment="1">
      <alignment horizontal="center" vertical="center" wrapText="1"/>
    </xf>
    <xf numFmtId="167" fontId="2" fillId="0" borderId="32" xfId="1061" applyNumberFormat="1" applyFont="1" applyBorder="1" applyAlignment="1">
      <alignment vertical="center" wrapText="1"/>
    </xf>
    <xf numFmtId="167" fontId="2" fillId="3" borderId="2" xfId="1061" applyNumberFormat="1" applyFont="1" applyFill="1" applyBorder="1" applyAlignment="1">
      <alignment horizontal="center" vertical="center" wrapText="1"/>
    </xf>
    <xf numFmtId="167" fontId="2" fillId="0" borderId="5" xfId="1061" applyNumberFormat="1" applyFont="1" applyBorder="1" applyAlignment="1">
      <alignment horizontal="center" vertical="center" wrapText="1"/>
    </xf>
    <xf numFmtId="167" fontId="4" fillId="0" borderId="2" xfId="1061" applyNumberFormat="1" applyFont="1" applyBorder="1" applyAlignment="1">
      <alignment horizontal="center" vertical="center" wrapText="1"/>
    </xf>
    <xf numFmtId="167" fontId="3" fillId="4" borderId="5" xfId="1061" applyNumberFormat="1" applyFont="1" applyFill="1" applyBorder="1" applyAlignment="1">
      <alignment horizontal="center" vertical="center" wrapText="1"/>
    </xf>
    <xf numFmtId="167" fontId="2" fillId="0" borderId="2" xfId="1061" applyNumberFormat="1" applyFont="1" applyBorder="1" applyAlignment="1">
      <alignment horizontal="center" vertical="center" wrapText="1"/>
    </xf>
    <xf numFmtId="167" fontId="2" fillId="0" borderId="3" xfId="1061" applyNumberFormat="1" applyFont="1" applyBorder="1" applyAlignment="1">
      <alignment horizontal="center" vertical="center" wrapText="1"/>
    </xf>
    <xf numFmtId="167" fontId="3" fillId="4" borderId="4" xfId="1061" applyNumberFormat="1" applyFont="1" applyFill="1" applyBorder="1" applyAlignment="1">
      <alignment horizontal="center" vertical="center" wrapText="1"/>
    </xf>
    <xf numFmtId="0" fontId="42" fillId="0" borderId="0" xfId="1090" applyNumberFormat="1" applyFont="1" applyFill="1" applyBorder="1" applyAlignment="1" applyProtection="1">
      <alignment horizontal="left" vertical="top" wrapText="1"/>
    </xf>
    <xf numFmtId="0" fontId="24" fillId="0" borderId="0" xfId="1090" applyNumberFormat="1" applyFont="1" applyFill="1" applyBorder="1" applyAlignment="1" applyProtection="1">
      <alignment horizontal="left" vertical="top"/>
    </xf>
    <xf numFmtId="2" fontId="42" fillId="0" borderId="0" xfId="1090" applyNumberFormat="1" applyFont="1" applyFill="1" applyBorder="1" applyAlignment="1" applyProtection="1">
      <alignment horizontal="center" vertical="top"/>
    </xf>
    <xf numFmtId="0" fontId="2" fillId="0" borderId="0" xfId="0" applyFont="1" applyBorder="1" applyAlignment="1">
      <alignment vertical="top"/>
    </xf>
    <xf numFmtId="0" fontId="3" fillId="0" borderId="0" xfId="0" applyFont="1" applyFill="1" applyBorder="1" applyAlignment="1">
      <alignment horizontal="center" vertical="top"/>
    </xf>
    <xf numFmtId="181" fontId="47" fillId="0" borderId="25" xfId="1023" applyNumberFormat="1" applyFont="1" applyFill="1" applyBorder="1" applyAlignment="1" applyProtection="1">
      <alignment horizontal="center" vertical="center"/>
      <protection hidden="1"/>
    </xf>
    <xf numFmtId="0" fontId="100" fillId="0" borderId="50" xfId="1023" applyFont="1" applyFill="1" applyBorder="1" applyAlignment="1" applyProtection="1">
      <alignment horizontal="center" vertical="center" wrapText="1"/>
      <protection hidden="1"/>
    </xf>
    <xf numFmtId="0" fontId="100" fillId="0" borderId="38" xfId="1023" applyFont="1" applyFill="1" applyBorder="1" applyAlignment="1" applyProtection="1">
      <alignment horizontal="center" vertical="center" wrapText="1"/>
      <protection hidden="1"/>
    </xf>
    <xf numFmtId="0" fontId="100" fillId="0" borderId="24" xfId="1023" applyFont="1" applyFill="1" applyBorder="1" applyAlignment="1" applyProtection="1">
      <alignment horizontal="center" vertical="center" wrapText="1"/>
      <protection hidden="1"/>
    </xf>
    <xf numFmtId="181" fontId="100" fillId="0" borderId="25" xfId="1023" applyNumberFormat="1" applyFont="1" applyFill="1" applyBorder="1" applyAlignment="1" applyProtection="1">
      <alignment horizontal="center" vertical="center" wrapText="1"/>
      <protection hidden="1"/>
    </xf>
    <xf numFmtId="2" fontId="100" fillId="0" borderId="26" xfId="1023" applyNumberFormat="1" applyFont="1" applyFill="1" applyBorder="1" applyAlignment="1" applyProtection="1">
      <alignment horizontal="center" vertical="center" wrapText="1"/>
      <protection hidden="1"/>
    </xf>
    <xf numFmtId="0" fontId="100" fillId="0" borderId="12" xfId="1023" applyFont="1" applyFill="1" applyBorder="1" applyAlignment="1" applyProtection="1">
      <alignment horizontal="center" wrapText="1"/>
      <protection hidden="1"/>
    </xf>
    <xf numFmtId="0" fontId="100" fillId="0" borderId="14" xfId="1023" applyFont="1" applyFill="1" applyBorder="1" applyAlignment="1" applyProtection="1">
      <alignment horizontal="center"/>
      <protection hidden="1"/>
    </xf>
    <xf numFmtId="0" fontId="100" fillId="0" borderId="74" xfId="1023" applyFont="1" applyFill="1" applyBorder="1" applyAlignment="1" applyProtection="1">
      <alignment horizontal="center"/>
      <protection hidden="1"/>
    </xf>
    <xf numFmtId="0" fontId="100" fillId="0" borderId="75" xfId="1023" applyFont="1" applyFill="1" applyBorder="1" applyAlignment="1" applyProtection="1">
      <alignment horizontal="center"/>
      <protection hidden="1"/>
    </xf>
    <xf numFmtId="181" fontId="100" fillId="0" borderId="59" xfId="1099" applyNumberFormat="1" applyFont="1" applyFill="1" applyBorder="1" applyAlignment="1" applyProtection="1">
      <alignment horizontal="center" vertical="center"/>
      <protection hidden="1"/>
    </xf>
    <xf numFmtId="181" fontId="100" fillId="0" borderId="60" xfId="1097" applyNumberFormat="1" applyFont="1" applyFill="1" applyBorder="1" applyAlignment="1" applyProtection="1">
      <alignment horizontal="center" vertical="center"/>
      <protection hidden="1"/>
    </xf>
    <xf numFmtId="181" fontId="100" fillId="0" borderId="17" xfId="1097" applyNumberFormat="1" applyFont="1" applyFill="1" applyBorder="1" applyAlignment="1" applyProtection="1">
      <alignment horizontal="center" vertical="center"/>
      <protection hidden="1"/>
    </xf>
    <xf numFmtId="181" fontId="100" fillId="0" borderId="32" xfId="1097" applyNumberFormat="1" applyFont="1" applyFill="1" applyBorder="1" applyAlignment="1" applyProtection="1">
      <alignment horizontal="center" vertical="center"/>
      <protection hidden="1"/>
    </xf>
    <xf numFmtId="3" fontId="100" fillId="0" borderId="9" xfId="1097" applyNumberFormat="1" applyFont="1" applyFill="1" applyBorder="1" applyAlignment="1" applyProtection="1">
      <alignment horizontal="center" vertical="center"/>
      <protection hidden="1"/>
    </xf>
    <xf numFmtId="181" fontId="100" fillId="0" borderId="42" xfId="1099" applyNumberFormat="1" applyFont="1" applyFill="1" applyBorder="1" applyAlignment="1" applyProtection="1">
      <alignment horizontal="center" vertical="center"/>
      <protection hidden="1"/>
    </xf>
    <xf numFmtId="181" fontId="100" fillId="0" borderId="8" xfId="1097" applyNumberFormat="1" applyFont="1" applyFill="1" applyBorder="1" applyAlignment="1" applyProtection="1">
      <alignment horizontal="center" vertical="center"/>
      <protection hidden="1"/>
    </xf>
    <xf numFmtId="181" fontId="100" fillId="0" borderId="2" xfId="1097" applyNumberFormat="1" applyFont="1" applyFill="1" applyBorder="1" applyAlignment="1" applyProtection="1">
      <alignment horizontal="center" vertical="center"/>
      <protection hidden="1"/>
    </xf>
    <xf numFmtId="181" fontId="100" fillId="0" borderId="5" xfId="1097" applyNumberFormat="1" applyFont="1" applyFill="1" applyBorder="1" applyAlignment="1" applyProtection="1">
      <alignment horizontal="center" vertical="center"/>
      <protection hidden="1"/>
    </xf>
    <xf numFmtId="181" fontId="100" fillId="0" borderId="70" xfId="1099" applyNumberFormat="1" applyFont="1" applyFill="1" applyBorder="1" applyAlignment="1" applyProtection="1">
      <alignment horizontal="center" vertical="center"/>
      <protection hidden="1"/>
    </xf>
    <xf numFmtId="181" fontId="100" fillId="0" borderId="71" xfId="1097" applyNumberFormat="1" applyFont="1" applyFill="1" applyBorder="1" applyAlignment="1" applyProtection="1">
      <alignment horizontal="center" vertical="center"/>
      <protection hidden="1"/>
    </xf>
    <xf numFmtId="181" fontId="100" fillId="0" borderId="3" xfId="1097" applyNumberFormat="1" applyFont="1" applyFill="1" applyBorder="1" applyAlignment="1" applyProtection="1">
      <alignment horizontal="center" vertical="center"/>
      <protection hidden="1"/>
    </xf>
    <xf numFmtId="181" fontId="100" fillId="0" borderId="4" xfId="1097" applyNumberFormat="1" applyFont="1" applyFill="1" applyBorder="1" applyAlignment="1" applyProtection="1">
      <alignment horizontal="center" vertical="center"/>
      <protection hidden="1"/>
    </xf>
    <xf numFmtId="181" fontId="100" fillId="0" borderId="50" xfId="1099" applyNumberFormat="1" applyFont="1" applyFill="1" applyBorder="1" applyAlignment="1" applyProtection="1">
      <alignment horizontal="center"/>
      <protection hidden="1"/>
    </xf>
    <xf numFmtId="181" fontId="100" fillId="0" borderId="25" xfId="1097" applyNumberFormat="1" applyFont="1" applyFill="1" applyBorder="1" applyAlignment="1" applyProtection="1">
      <alignment horizontal="center"/>
      <protection hidden="1"/>
    </xf>
    <xf numFmtId="181" fontId="100" fillId="0" borderId="38" xfId="1097" applyNumberFormat="1" applyFont="1" applyFill="1" applyBorder="1" applyAlignment="1" applyProtection="1">
      <alignment horizontal="center"/>
      <protection hidden="1"/>
    </xf>
    <xf numFmtId="181" fontId="100" fillId="0" borderId="26" xfId="1097" applyNumberFormat="1" applyFont="1" applyFill="1" applyBorder="1" applyAlignment="1" applyProtection="1">
      <alignment horizontal="center"/>
      <protection hidden="1"/>
    </xf>
    <xf numFmtId="0" fontId="265" fillId="75" borderId="12" xfId="1023" applyFont="1" applyFill="1" applyBorder="1" applyAlignment="1" applyProtection="1">
      <alignment wrapText="1"/>
      <protection locked="0"/>
    </xf>
    <xf numFmtId="181" fontId="265" fillId="75" borderId="74" xfId="1023" applyNumberFormat="1" applyFont="1" applyFill="1" applyBorder="1" applyAlignment="1" applyProtection="1">
      <alignment horizontal="center"/>
      <protection locked="0"/>
    </xf>
    <xf numFmtId="181" fontId="265" fillId="75" borderId="247" xfId="1023" applyNumberFormat="1" applyFont="1" applyFill="1" applyBorder="1" applyAlignment="1" applyProtection="1">
      <alignment horizontal="center"/>
      <protection locked="0"/>
    </xf>
    <xf numFmtId="181" fontId="265" fillId="75" borderId="75" xfId="1023" applyNumberFormat="1" applyFont="1" applyFill="1" applyBorder="1" applyAlignment="1" applyProtection="1">
      <alignment horizontal="center"/>
      <protection locked="0"/>
    </xf>
    <xf numFmtId="181" fontId="265" fillId="75" borderId="22" xfId="1023" applyNumberFormat="1" applyFont="1" applyFill="1" applyBorder="1" applyAlignment="1" applyProtection="1">
      <alignment horizontal="center"/>
      <protection locked="0"/>
    </xf>
    <xf numFmtId="181" fontId="265" fillId="75" borderId="248" xfId="1023" applyNumberFormat="1" applyFont="1" applyFill="1" applyBorder="1" applyAlignment="1" applyProtection="1">
      <alignment horizontal="center"/>
      <protection locked="0"/>
    </xf>
    <xf numFmtId="181" fontId="265" fillId="75" borderId="14" xfId="1023" applyNumberFormat="1" applyFont="1" applyFill="1" applyBorder="1" applyAlignment="1" applyProtection="1">
      <alignment horizontal="center"/>
      <protection locked="0"/>
    </xf>
    <xf numFmtId="0" fontId="47" fillId="5" borderId="15" xfId="1099" applyFont="1" applyFill="1" applyBorder="1" applyAlignment="1" applyProtection="1">
      <alignment wrapText="1"/>
      <protection locked="0"/>
    </xf>
    <xf numFmtId="181" fontId="47" fillId="0" borderId="59" xfId="1023" applyNumberFormat="1" applyFont="1" applyFill="1" applyBorder="1" applyAlignment="1" applyProtection="1">
      <alignment horizontal="center"/>
      <protection hidden="1"/>
    </xf>
    <xf numFmtId="0" fontId="47" fillId="5" borderId="10" xfId="1099" applyFont="1" applyFill="1" applyBorder="1" applyAlignment="1" applyProtection="1">
      <alignment wrapText="1"/>
      <protection locked="0"/>
    </xf>
    <xf numFmtId="181" fontId="47" fillId="0" borderId="42" xfId="1023" applyNumberFormat="1" applyFont="1" applyFill="1" applyBorder="1" applyAlignment="1" applyProtection="1">
      <alignment horizontal="center"/>
      <protection hidden="1"/>
    </xf>
    <xf numFmtId="2" fontId="47" fillId="5" borderId="10" xfId="1099" applyNumberFormat="1" applyFont="1" applyFill="1" applyBorder="1" applyAlignment="1" applyProtection="1">
      <alignment wrapText="1"/>
      <protection locked="0"/>
    </xf>
    <xf numFmtId="2" fontId="47" fillId="5" borderId="7" xfId="1099" applyNumberFormat="1" applyFont="1" applyFill="1" applyBorder="1" applyAlignment="1" applyProtection="1">
      <alignment wrapText="1"/>
      <protection locked="0"/>
    </xf>
    <xf numFmtId="181" fontId="47" fillId="0" borderId="70" xfId="1023" applyNumberFormat="1" applyFont="1" applyFill="1" applyBorder="1" applyAlignment="1" applyProtection="1">
      <alignment horizontal="center"/>
      <protection hidden="1"/>
    </xf>
    <xf numFmtId="0" fontId="2" fillId="0" borderId="0" xfId="0" applyFont="1" applyBorder="1"/>
    <xf numFmtId="0" fontId="100" fillId="0" borderId="13" xfId="1023" applyFont="1" applyFill="1" applyBorder="1" applyAlignment="1" applyProtection="1">
      <alignment horizontal="center"/>
      <protection hidden="1"/>
    </xf>
    <xf numFmtId="167" fontId="2" fillId="0" borderId="2" xfId="0" applyNumberFormat="1" applyFont="1" applyBorder="1" applyAlignment="1">
      <alignment horizontal="center" vertical="center"/>
    </xf>
    <xf numFmtId="167" fontId="33" fillId="0" borderId="2" xfId="0" applyNumberFormat="1" applyFont="1" applyBorder="1" applyAlignment="1">
      <alignment horizontal="center" vertical="center"/>
    </xf>
    <xf numFmtId="0" fontId="7" fillId="0" borderId="0" xfId="0" applyFont="1" applyFill="1" applyBorder="1" applyAlignment="1">
      <alignment horizontal="center" vertical="top"/>
    </xf>
    <xf numFmtId="0" fontId="289" fillId="0" borderId="0" xfId="1061" applyFont="1" applyAlignment="1">
      <alignment horizontal="right" vertical="center"/>
    </xf>
    <xf numFmtId="0" fontId="1" fillId="0" borderId="0" xfId="1100"/>
    <xf numFmtId="0" fontId="297" fillId="0" borderId="11" xfId="1100" applyFont="1" applyBorder="1" applyAlignment="1">
      <alignment horizontal="center" vertical="center"/>
    </xf>
    <xf numFmtId="0" fontId="297" fillId="0" borderId="3" xfId="1100" applyFont="1" applyBorder="1" applyAlignment="1">
      <alignment horizontal="center" vertical="center" textRotation="90" wrapText="1"/>
    </xf>
    <xf numFmtId="0" fontId="297" fillId="0" borderId="3" xfId="1100" applyFont="1" applyBorder="1" applyAlignment="1">
      <alignment horizontal="center" vertical="center"/>
    </xf>
    <xf numFmtId="0" fontId="297" fillId="0" borderId="4" xfId="1100" applyFont="1" applyBorder="1" applyAlignment="1">
      <alignment horizontal="center" vertical="center" textRotation="90" wrapText="1"/>
    </xf>
    <xf numFmtId="49" fontId="47" fillId="0" borderId="14" xfId="1023" applyNumberFormat="1" applyFont="1" applyFill="1" applyBorder="1" applyAlignment="1" applyProtection="1">
      <alignment horizontal="center" vertical="center" wrapText="1"/>
      <protection locked="0"/>
    </xf>
    <xf numFmtId="0" fontId="297" fillId="0" borderId="22" xfId="1100" applyFont="1" applyBorder="1" applyAlignment="1">
      <alignment horizontal="center" vertical="center"/>
    </xf>
    <xf numFmtId="0" fontId="297" fillId="0" borderId="247" xfId="1100" applyFont="1" applyBorder="1" applyAlignment="1">
      <alignment horizontal="center" vertical="center"/>
    </xf>
    <xf numFmtId="0" fontId="297" fillId="0" borderId="248" xfId="1100" applyFont="1" applyBorder="1" applyAlignment="1">
      <alignment horizontal="center" vertical="center"/>
    </xf>
    <xf numFmtId="0" fontId="297" fillId="0" borderId="74" xfId="1100" applyFont="1" applyBorder="1" applyAlignment="1">
      <alignment horizontal="center" vertical="center"/>
    </xf>
    <xf numFmtId="0" fontId="47" fillId="5" borderId="49" xfId="1099" applyFont="1" applyFill="1" applyBorder="1" applyAlignment="1" applyProtection="1">
      <alignment horizontal="left" vertical="center" wrapText="1"/>
      <protection locked="0"/>
    </xf>
    <xf numFmtId="0" fontId="297" fillId="0" borderId="30" xfId="1100" applyFont="1" applyBorder="1" applyAlignment="1">
      <alignment horizontal="center"/>
    </xf>
    <xf numFmtId="181" fontId="297" fillId="0" borderId="33" xfId="1100" applyNumberFormat="1" applyFont="1" applyBorder="1" applyAlignment="1">
      <alignment horizontal="center"/>
    </xf>
    <xf numFmtId="0" fontId="297" fillId="73" borderId="33" xfId="1100" applyFont="1" applyFill="1" applyBorder="1" applyAlignment="1">
      <alignment horizontal="center"/>
    </xf>
    <xf numFmtId="0" fontId="297" fillId="0" borderId="31" xfId="1100" applyFont="1" applyBorder="1" applyAlignment="1">
      <alignment horizontal="center"/>
    </xf>
    <xf numFmtId="0" fontId="297" fillId="0" borderId="33" xfId="1100" applyFont="1" applyBorder="1" applyAlignment="1">
      <alignment horizontal="center" vertical="center"/>
    </xf>
    <xf numFmtId="0" fontId="297" fillId="0" borderId="33" xfId="1100" applyFont="1" applyBorder="1"/>
    <xf numFmtId="0" fontId="297" fillId="0" borderId="31" xfId="1100" applyFont="1" applyBorder="1"/>
    <xf numFmtId="0" fontId="297" fillId="73" borderId="30" xfId="1100" applyFont="1" applyFill="1" applyBorder="1" applyAlignment="1">
      <alignment horizontal="center"/>
    </xf>
    <xf numFmtId="0" fontId="297" fillId="0" borderId="33" xfId="1100" applyFont="1" applyBorder="1" applyAlignment="1">
      <alignment horizontal="center"/>
    </xf>
    <xf numFmtId="0" fontId="297" fillId="73" borderId="31" xfId="1100" applyFont="1" applyFill="1" applyBorder="1" applyAlignment="1">
      <alignment horizontal="center"/>
    </xf>
    <xf numFmtId="1" fontId="297" fillId="0" borderId="30" xfId="1100" applyNumberFormat="1" applyFont="1" applyBorder="1" applyAlignment="1">
      <alignment horizontal="center"/>
    </xf>
    <xf numFmtId="0" fontId="297" fillId="0" borderId="36" xfId="1100" applyFont="1" applyBorder="1" applyAlignment="1">
      <alignment horizontal="center"/>
    </xf>
    <xf numFmtId="3" fontId="297" fillId="73" borderId="31" xfId="1100" applyNumberFormat="1" applyFont="1" applyFill="1" applyBorder="1" applyAlignment="1">
      <alignment horizontal="center" vertical="center"/>
    </xf>
    <xf numFmtId="0" fontId="47" fillId="5" borderId="9" xfId="1099" applyFont="1" applyFill="1" applyBorder="1" applyAlignment="1" applyProtection="1">
      <alignment horizontal="left" vertical="center" wrapText="1"/>
      <protection locked="0"/>
    </xf>
    <xf numFmtId="0" fontId="297" fillId="0" borderId="1" xfId="1100" applyFont="1" applyBorder="1" applyAlignment="1">
      <alignment horizontal="center"/>
    </xf>
    <xf numFmtId="181" fontId="297" fillId="0" borderId="2" xfId="1100" applyNumberFormat="1" applyFont="1" applyBorder="1" applyAlignment="1">
      <alignment horizontal="center"/>
    </xf>
    <xf numFmtId="0" fontId="297" fillId="73" borderId="2" xfId="1100" applyFont="1" applyFill="1" applyBorder="1" applyAlignment="1">
      <alignment horizontal="center"/>
    </xf>
    <xf numFmtId="0" fontId="297" fillId="0" borderId="5" xfId="1100" applyFont="1" applyBorder="1" applyAlignment="1">
      <alignment horizontal="center"/>
    </xf>
    <xf numFmtId="0" fontId="297" fillId="0" borderId="2" xfId="1100" applyFont="1" applyBorder="1" applyAlignment="1">
      <alignment horizontal="center" vertical="center"/>
    </xf>
    <xf numFmtId="0" fontId="297" fillId="0" borderId="2" xfId="1100" applyFont="1" applyBorder="1"/>
    <xf numFmtId="0" fontId="297" fillId="0" borderId="5" xfId="1100" applyFont="1" applyBorder="1"/>
    <xf numFmtId="0" fontId="297" fillId="73" borderId="1" xfId="1100" applyFont="1" applyFill="1" applyBorder="1" applyAlignment="1">
      <alignment horizontal="center"/>
    </xf>
    <xf numFmtId="1" fontId="297" fillId="0" borderId="2" xfId="1100" applyNumberFormat="1" applyFont="1" applyBorder="1" applyAlignment="1">
      <alignment horizontal="center"/>
    </xf>
    <xf numFmtId="0" fontId="297" fillId="0" borderId="2" xfId="1100" applyFont="1" applyBorder="1" applyAlignment="1">
      <alignment horizontal="center"/>
    </xf>
    <xf numFmtId="0" fontId="297" fillId="73" borderId="5" xfId="1100" applyFont="1" applyFill="1" applyBorder="1" applyAlignment="1">
      <alignment horizontal="center"/>
    </xf>
    <xf numFmtId="1" fontId="297" fillId="0" borderId="1" xfId="1100" applyNumberFormat="1" applyFont="1" applyBorder="1" applyAlignment="1">
      <alignment horizontal="center"/>
    </xf>
    <xf numFmtId="0" fontId="297" fillId="0" borderId="42" xfId="1100" applyFont="1" applyBorder="1" applyAlignment="1">
      <alignment horizontal="center"/>
    </xf>
    <xf numFmtId="3" fontId="297" fillId="73" borderId="5" xfId="1100" applyNumberFormat="1" applyFont="1" applyFill="1" applyBorder="1" applyAlignment="1">
      <alignment horizontal="center" vertical="center"/>
    </xf>
    <xf numFmtId="2" fontId="47" fillId="5" borderId="9" xfId="1099" applyNumberFormat="1" applyFont="1" applyFill="1" applyBorder="1" applyAlignment="1" applyProtection="1">
      <alignment horizontal="left" vertical="center" wrapText="1"/>
      <protection locked="0"/>
    </xf>
    <xf numFmtId="2" fontId="47" fillId="5" borderId="27" xfId="1099" applyNumberFormat="1" applyFont="1" applyFill="1" applyBorder="1" applyAlignment="1" applyProtection="1">
      <alignment horizontal="left" vertical="center" wrapText="1"/>
      <protection locked="0"/>
    </xf>
    <xf numFmtId="0" fontId="297" fillId="0" borderId="24" xfId="1100" applyFont="1" applyBorder="1" applyAlignment="1">
      <alignment horizontal="center"/>
    </xf>
    <xf numFmtId="0" fontId="297" fillId="0" borderId="25" xfId="1100" applyFont="1" applyBorder="1" applyAlignment="1">
      <alignment horizontal="center"/>
    </xf>
    <xf numFmtId="0" fontId="297" fillId="73" borderId="25" xfId="1100" applyFont="1" applyFill="1" applyBorder="1" applyAlignment="1">
      <alignment horizontal="center"/>
    </xf>
    <xf numFmtId="0" fontId="297" fillId="0" borderId="26" xfId="1100" applyFont="1" applyBorder="1" applyAlignment="1">
      <alignment horizontal="center"/>
    </xf>
    <xf numFmtId="1" fontId="297" fillId="0" borderId="24" xfId="1100" applyNumberFormat="1" applyFont="1" applyBorder="1" applyAlignment="1">
      <alignment horizontal="center"/>
    </xf>
    <xf numFmtId="0" fontId="297" fillId="0" borderId="25" xfId="1100" applyFont="1" applyBorder="1"/>
    <xf numFmtId="0" fontId="297" fillId="0" borderId="26" xfId="1100" applyFont="1" applyBorder="1"/>
    <xf numFmtId="0" fontId="297" fillId="73" borderId="24" xfId="1100" applyFont="1" applyFill="1" applyBorder="1" applyAlignment="1">
      <alignment horizontal="center"/>
    </xf>
    <xf numFmtId="1" fontId="297" fillId="0" borderId="25" xfId="1100" applyNumberFormat="1" applyFont="1" applyBorder="1" applyAlignment="1">
      <alignment horizontal="center"/>
    </xf>
    <xf numFmtId="0" fontId="297" fillId="73" borderId="26" xfId="1100" applyFont="1" applyFill="1" applyBorder="1" applyAlignment="1">
      <alignment horizontal="center"/>
    </xf>
    <xf numFmtId="3" fontId="297" fillId="73" borderId="26" xfId="1100" applyNumberFormat="1" applyFont="1" applyFill="1" applyBorder="1" applyAlignment="1">
      <alignment horizontal="center" vertical="center"/>
    </xf>
    <xf numFmtId="0" fontId="297" fillId="0" borderId="0" xfId="1100" applyFont="1"/>
    <xf numFmtId="0" fontId="297" fillId="0" borderId="23" xfId="1100" applyFont="1" applyBorder="1" applyAlignment="1">
      <alignment horizontal="center" vertical="center"/>
    </xf>
    <xf numFmtId="0" fontId="297" fillId="0" borderId="99" xfId="1100" applyFont="1" applyBorder="1" applyAlignment="1">
      <alignment horizontal="center" vertical="center"/>
    </xf>
    <xf numFmtId="0" fontId="297" fillId="0" borderId="102" xfId="1100" applyFont="1" applyBorder="1" applyAlignment="1">
      <alignment horizontal="center" vertical="center"/>
    </xf>
    <xf numFmtId="0" fontId="47" fillId="5" borderId="39" xfId="1099" applyFont="1" applyFill="1" applyBorder="1" applyAlignment="1" applyProtection="1">
      <alignment horizontal="left" vertical="center" wrapText="1"/>
      <protection locked="0"/>
    </xf>
    <xf numFmtId="1" fontId="297" fillId="0" borderId="16" xfId="1100" applyNumberFormat="1" applyFont="1" applyBorder="1" applyAlignment="1">
      <alignment horizontal="center"/>
    </xf>
    <xf numFmtId="181" fontId="297" fillId="0" borderId="17" xfId="1100" applyNumberFormat="1" applyFont="1" applyBorder="1" applyAlignment="1">
      <alignment horizontal="center"/>
    </xf>
    <xf numFmtId="1" fontId="297" fillId="0" borderId="17" xfId="1100" applyNumberFormat="1" applyFont="1" applyBorder="1" applyAlignment="1">
      <alignment horizontal="center"/>
    </xf>
    <xf numFmtId="0" fontId="297" fillId="0" borderId="32" xfId="1100" applyFont="1" applyBorder="1" applyAlignment="1">
      <alignment horizontal="center"/>
    </xf>
    <xf numFmtId="1" fontId="297" fillId="73" borderId="33" xfId="1100" applyNumberFormat="1" applyFont="1" applyFill="1" applyBorder="1" applyAlignment="1">
      <alignment horizontal="center"/>
    </xf>
    <xf numFmtId="181" fontId="297" fillId="0" borderId="36" xfId="1100" applyNumberFormat="1" applyFont="1" applyBorder="1" applyAlignment="1">
      <alignment horizontal="center"/>
    </xf>
    <xf numFmtId="0" fontId="47" fillId="5" borderId="10" xfId="1099" applyFont="1" applyFill="1" applyBorder="1" applyAlignment="1" applyProtection="1">
      <alignment horizontal="left" vertical="center" wrapText="1"/>
      <protection locked="0"/>
    </xf>
    <xf numFmtId="181" fontId="297" fillId="0" borderId="42" xfId="1100" applyNumberFormat="1" applyFont="1" applyBorder="1" applyAlignment="1">
      <alignment horizontal="center"/>
    </xf>
    <xf numFmtId="1" fontId="297" fillId="0" borderId="42" xfId="1100" applyNumberFormat="1" applyFont="1" applyBorder="1" applyAlignment="1">
      <alignment horizontal="center"/>
    </xf>
    <xf numFmtId="2" fontId="47" fillId="5" borderId="10" xfId="1099" applyNumberFormat="1" applyFont="1" applyFill="1" applyBorder="1" applyAlignment="1" applyProtection="1">
      <alignment horizontal="left" vertical="center" wrapText="1"/>
      <protection locked="0"/>
    </xf>
    <xf numFmtId="2" fontId="47" fillId="5" borderId="101" xfId="1099" applyNumberFormat="1" applyFont="1" applyFill="1" applyBorder="1" applyAlignment="1" applyProtection="1">
      <alignment horizontal="left" vertical="center" wrapText="1"/>
      <protection locked="0"/>
    </xf>
    <xf numFmtId="1" fontId="297" fillId="0" borderId="11" xfId="1100" applyNumberFormat="1" applyFont="1" applyBorder="1" applyAlignment="1">
      <alignment horizontal="center"/>
    </xf>
    <xf numFmtId="181" fontId="297" fillId="0" borderId="3" xfId="1100" applyNumberFormat="1" applyFont="1" applyBorder="1" applyAlignment="1">
      <alignment horizontal="center"/>
    </xf>
    <xf numFmtId="1" fontId="297" fillId="0" borderId="3" xfId="1100" applyNumberFormat="1" applyFont="1" applyBorder="1" applyAlignment="1">
      <alignment horizontal="center"/>
    </xf>
    <xf numFmtId="0" fontId="297" fillId="0" borderId="4" xfId="1100" applyFont="1" applyBorder="1" applyAlignment="1">
      <alignment horizontal="center"/>
    </xf>
    <xf numFmtId="1" fontId="297" fillId="0" borderId="42" xfId="1100" applyNumberFormat="1" applyFont="1" applyBorder="1" applyAlignment="1">
      <alignment horizontal="center" vertical="center"/>
    </xf>
    <xf numFmtId="3" fontId="100" fillId="0" borderId="283" xfId="1097" applyNumberFormat="1" applyFont="1" applyFill="1" applyBorder="1" applyAlignment="1" applyProtection="1">
      <alignment horizontal="center" vertical="center"/>
      <protection hidden="1"/>
    </xf>
    <xf numFmtId="3" fontId="100" fillId="0" borderId="21" xfId="1097" applyNumberFormat="1" applyFont="1" applyFill="1" applyBorder="1" applyAlignment="1" applyProtection="1">
      <alignment horizontal="center" vertical="center"/>
      <protection hidden="1"/>
    </xf>
    <xf numFmtId="0" fontId="47" fillId="5" borderId="15" xfId="1099" applyFont="1" applyFill="1" applyBorder="1" applyAlignment="1" applyProtection="1">
      <alignment vertical="center" wrapText="1"/>
      <protection locked="0"/>
    </xf>
    <xf numFmtId="3" fontId="100" fillId="0" borderId="13" xfId="1097" applyNumberFormat="1" applyFont="1" applyFill="1" applyBorder="1" applyAlignment="1" applyProtection="1">
      <alignment horizontal="center"/>
      <protection hidden="1"/>
    </xf>
    <xf numFmtId="0" fontId="3" fillId="0" borderId="30" xfId="1090" applyNumberFormat="1" applyFont="1" applyFill="1" applyBorder="1" applyAlignment="1" applyProtection="1">
      <alignment horizontal="left" vertical="center" wrapText="1"/>
    </xf>
    <xf numFmtId="2" fontId="2" fillId="0" borderId="33" xfId="1090" applyNumberFormat="1" applyFont="1" applyFill="1" applyBorder="1" applyAlignment="1" applyProtection="1">
      <alignment horizontal="center" vertical="center"/>
    </xf>
    <xf numFmtId="2" fontId="3" fillId="0" borderId="33" xfId="1090" applyNumberFormat="1" applyFont="1" applyFill="1" applyBorder="1" applyAlignment="1" applyProtection="1">
      <alignment horizontal="center" vertical="center"/>
    </xf>
    <xf numFmtId="0" fontId="2" fillId="0" borderId="11" xfId="1090" applyNumberFormat="1" applyFont="1" applyFill="1" applyBorder="1" applyAlignment="1" applyProtection="1">
      <alignment horizontal="left" vertical="center" wrapText="1"/>
    </xf>
    <xf numFmtId="2" fontId="2" fillId="0" borderId="3" xfId="1090" applyNumberFormat="1" applyFont="1" applyFill="1" applyBorder="1" applyAlignment="1" applyProtection="1">
      <alignment horizontal="center" vertical="center"/>
    </xf>
    <xf numFmtId="2" fontId="2" fillId="0" borderId="3" xfId="1087" applyNumberFormat="1" applyFont="1" applyBorder="1" applyAlignment="1">
      <alignment horizontal="center" vertical="center"/>
    </xf>
    <xf numFmtId="0" fontId="272" fillId="0" borderId="0" xfId="1100" applyFont="1"/>
    <xf numFmtId="0" fontId="272" fillId="0" borderId="0" xfId="1100" applyFont="1" applyAlignment="1">
      <alignment horizontal="center"/>
    </xf>
    <xf numFmtId="0" fontId="100" fillId="0" borderId="99" xfId="1023" applyFont="1" applyFill="1" applyBorder="1" applyAlignment="1" applyProtection="1">
      <alignment horizontal="center"/>
      <protection hidden="1"/>
    </xf>
    <xf numFmtId="0" fontId="100" fillId="0" borderId="23" xfId="1023" applyFont="1" applyFill="1" applyBorder="1" applyAlignment="1" applyProtection="1">
      <alignment horizontal="center"/>
      <protection hidden="1"/>
    </xf>
    <xf numFmtId="0" fontId="100" fillId="0" borderId="100" xfId="1023" applyFont="1" applyFill="1" applyBorder="1" applyAlignment="1" applyProtection="1">
      <alignment horizontal="center"/>
      <protection hidden="1"/>
    </xf>
    <xf numFmtId="0" fontId="100" fillId="0" borderId="8" xfId="1023" applyFont="1" applyFill="1" applyBorder="1" applyAlignment="1" applyProtection="1">
      <alignment horizontal="center" vertical="center" wrapText="1"/>
      <protection hidden="1"/>
    </xf>
    <xf numFmtId="0" fontId="100" fillId="0" borderId="42" xfId="1023" applyFont="1" applyFill="1" applyBorder="1" applyAlignment="1" applyProtection="1">
      <alignment horizontal="center" vertical="center" wrapText="1"/>
      <protection hidden="1"/>
    </xf>
    <xf numFmtId="0" fontId="100" fillId="0" borderId="2" xfId="1023" applyFont="1" applyFill="1" applyBorder="1" applyAlignment="1" applyProtection="1">
      <alignment horizontal="center" vertical="center" wrapText="1"/>
      <protection hidden="1"/>
    </xf>
    <xf numFmtId="0" fontId="100" fillId="0" borderId="1" xfId="1023" applyFont="1" applyFill="1" applyBorder="1" applyAlignment="1" applyProtection="1">
      <alignment horizontal="center" vertical="center" wrapText="1"/>
      <protection hidden="1"/>
    </xf>
    <xf numFmtId="0" fontId="100" fillId="0" borderId="0" xfId="1023" applyFont="1" applyFill="1" applyAlignment="1" applyProtection="1">
      <alignment horizontal="center"/>
      <protection hidden="1"/>
    </xf>
    <xf numFmtId="0" fontId="100" fillId="0" borderId="11" xfId="1023" applyFont="1" applyFill="1" applyBorder="1" applyAlignment="1" applyProtection="1">
      <alignment horizontal="center" vertical="center" wrapText="1"/>
      <protection hidden="1"/>
    </xf>
    <xf numFmtId="181" fontId="100" fillId="0" borderId="3" xfId="1023" applyNumberFormat="1" applyFont="1" applyFill="1" applyBorder="1" applyAlignment="1" applyProtection="1">
      <alignment horizontal="center" vertical="center" wrapText="1"/>
      <protection hidden="1"/>
    </xf>
    <xf numFmtId="2" fontId="100" fillId="0" borderId="71" xfId="1023" applyNumberFormat="1" applyFont="1" applyFill="1" applyBorder="1" applyAlignment="1" applyProtection="1">
      <alignment horizontal="center" vertical="center" wrapText="1"/>
      <protection hidden="1"/>
    </xf>
    <xf numFmtId="2" fontId="100" fillId="0" borderId="4" xfId="1023" applyNumberFormat="1" applyFont="1" applyFill="1" applyBorder="1" applyAlignment="1" applyProtection="1">
      <alignment horizontal="center" vertical="center" wrapText="1"/>
      <protection hidden="1"/>
    </xf>
    <xf numFmtId="0" fontId="100" fillId="0" borderId="102" xfId="1023" applyFont="1" applyFill="1" applyBorder="1" applyAlignment="1" applyProtection="1">
      <alignment horizontal="center"/>
      <protection hidden="1"/>
    </xf>
    <xf numFmtId="181" fontId="47" fillId="0" borderId="16" xfId="1023" applyNumberFormat="1" applyFont="1" applyFill="1" applyBorder="1" applyAlignment="1" applyProtection="1">
      <alignment horizontal="center" vertical="center"/>
      <protection hidden="1"/>
    </xf>
    <xf numFmtId="181" fontId="47" fillId="0" borderId="1" xfId="1023" applyNumberFormat="1" applyFont="1" applyFill="1" applyBorder="1" applyAlignment="1" applyProtection="1">
      <alignment horizontal="center" vertical="center"/>
      <protection hidden="1"/>
    </xf>
    <xf numFmtId="181" fontId="47" fillId="0" borderId="11" xfId="1023" applyNumberFormat="1" applyFont="1" applyFill="1" applyBorder="1" applyAlignment="1" applyProtection="1">
      <alignment horizontal="center" vertical="center"/>
      <protection hidden="1"/>
    </xf>
    <xf numFmtId="181" fontId="100" fillId="0" borderId="40" xfId="1097" applyNumberFormat="1" applyFont="1" applyFill="1" applyBorder="1" applyAlignment="1" applyProtection="1">
      <alignment horizontal="center" vertical="center"/>
      <protection hidden="1"/>
    </xf>
    <xf numFmtId="181" fontId="100" fillId="0" borderId="31" xfId="1097" applyNumberFormat="1" applyFont="1" applyFill="1" applyBorder="1" applyAlignment="1" applyProtection="1">
      <alignment horizontal="center" vertical="center"/>
      <protection hidden="1"/>
    </xf>
    <xf numFmtId="181" fontId="100" fillId="0" borderId="18" xfId="1097" applyNumberFormat="1" applyFont="1" applyFill="1" applyBorder="1" applyAlignment="1" applyProtection="1">
      <alignment horizontal="center" vertical="center"/>
      <protection hidden="1"/>
    </xf>
    <xf numFmtId="181" fontId="100" fillId="0" borderId="9" xfId="1097" applyNumberFormat="1" applyFont="1" applyFill="1" applyBorder="1" applyAlignment="1" applyProtection="1">
      <alignment horizontal="center" vertical="center"/>
      <protection hidden="1"/>
    </xf>
    <xf numFmtId="181" fontId="100" fillId="0" borderId="13" xfId="1097" applyNumberFormat="1" applyFont="1" applyFill="1" applyBorder="1" applyAlignment="1" applyProtection="1">
      <alignment horizontal="center" vertical="center"/>
      <protection hidden="1"/>
    </xf>
    <xf numFmtId="0" fontId="100" fillId="0" borderId="44" xfId="1023" applyFont="1" applyFill="1" applyBorder="1" applyAlignment="1" applyProtection="1">
      <alignment horizontal="center"/>
      <protection hidden="1"/>
    </xf>
    <xf numFmtId="181" fontId="100" fillId="0" borderId="29" xfId="1097" applyNumberFormat="1" applyFont="1" applyFill="1" applyBorder="1" applyAlignment="1" applyProtection="1">
      <alignment horizontal="center"/>
      <protection hidden="1"/>
    </xf>
    <xf numFmtId="181" fontId="100" fillId="0" borderId="43" xfId="1097" applyNumberFormat="1" applyFont="1" applyFill="1" applyBorder="1" applyAlignment="1" applyProtection="1">
      <alignment horizontal="center"/>
      <protection hidden="1"/>
    </xf>
    <xf numFmtId="181" fontId="100" fillId="0" borderId="44" xfId="1097" applyNumberFormat="1" applyFont="1" applyFill="1" applyBorder="1" applyAlignment="1" applyProtection="1">
      <alignment horizontal="center"/>
      <protection hidden="1"/>
    </xf>
    <xf numFmtId="0" fontId="151" fillId="0" borderId="54" xfId="1023" applyFont="1" applyFill="1" applyBorder="1" applyAlignment="1" applyProtection="1">
      <protection hidden="1"/>
    </xf>
    <xf numFmtId="0" fontId="100" fillId="73" borderId="29" xfId="1023" applyFont="1" applyFill="1" applyBorder="1" applyAlignment="1" applyProtection="1">
      <alignment vertical="center" wrapText="1"/>
      <protection hidden="1"/>
    </xf>
    <xf numFmtId="181" fontId="47" fillId="0" borderId="33" xfId="1023" applyNumberFormat="1" applyFont="1" applyFill="1" applyBorder="1" applyAlignment="1" applyProtection="1">
      <alignment horizontal="center" vertical="center"/>
      <protection hidden="1"/>
    </xf>
    <xf numFmtId="181" fontId="100" fillId="0" borderId="33" xfId="1097" applyNumberFormat="1" applyFont="1" applyFill="1" applyBorder="1" applyAlignment="1" applyProtection="1">
      <alignment horizontal="center"/>
      <protection hidden="1"/>
    </xf>
    <xf numFmtId="0" fontId="100" fillId="0" borderId="11" xfId="1023" applyFont="1" applyFill="1" applyBorder="1" applyAlignment="1" applyProtection="1">
      <alignment horizontal="center"/>
      <protection hidden="1"/>
    </xf>
    <xf numFmtId="0" fontId="100" fillId="0" borderId="3" xfId="1023" applyFont="1" applyFill="1" applyBorder="1" applyAlignment="1" applyProtection="1">
      <alignment horizontal="center"/>
      <protection hidden="1"/>
    </xf>
    <xf numFmtId="0" fontId="100" fillId="0" borderId="4" xfId="1023" applyFont="1" applyFill="1" applyBorder="1" applyAlignment="1" applyProtection="1">
      <alignment horizontal="center"/>
      <protection hidden="1"/>
    </xf>
    <xf numFmtId="181" fontId="100" fillId="0" borderId="31" xfId="1097" applyNumberFormat="1" applyFont="1" applyFill="1" applyBorder="1" applyAlignment="1" applyProtection="1">
      <alignment horizontal="center"/>
      <protection hidden="1"/>
    </xf>
    <xf numFmtId="2" fontId="47" fillId="5" borderId="101" xfId="1099" applyNumberFormat="1" applyFont="1" applyFill="1" applyBorder="1" applyAlignment="1" applyProtection="1">
      <alignment vertical="center" wrapText="1"/>
      <protection locked="0"/>
    </xf>
    <xf numFmtId="0" fontId="47" fillId="5" borderId="39" xfId="1099" applyFont="1" applyFill="1" applyBorder="1" applyAlignment="1" applyProtection="1">
      <alignment wrapText="1"/>
      <protection locked="0"/>
    </xf>
    <xf numFmtId="3" fontId="100" fillId="0" borderId="49" xfId="1097" applyNumberFormat="1" applyFont="1" applyFill="1" applyBorder="1" applyAlignment="1" applyProtection="1">
      <alignment horizontal="center"/>
      <protection hidden="1"/>
    </xf>
    <xf numFmtId="181" fontId="100" fillId="0" borderId="36" xfId="1099" applyNumberFormat="1" applyFont="1" applyFill="1" applyBorder="1" applyAlignment="1" applyProtection="1">
      <alignment horizontal="center"/>
      <protection hidden="1"/>
    </xf>
    <xf numFmtId="181" fontId="100" fillId="0" borderId="35" xfId="1097" applyNumberFormat="1" applyFont="1" applyFill="1" applyBorder="1" applyAlignment="1" applyProtection="1">
      <alignment horizontal="center"/>
      <protection hidden="1"/>
    </xf>
    <xf numFmtId="181" fontId="47" fillId="0" borderId="36" xfId="1023" applyNumberFormat="1" applyFont="1" applyFill="1" applyBorder="1" applyAlignment="1" applyProtection="1">
      <alignment horizontal="center"/>
      <protection hidden="1"/>
    </xf>
    <xf numFmtId="0" fontId="100" fillId="0" borderId="7" xfId="1023" applyFont="1" applyFill="1" applyBorder="1" applyAlignment="1" applyProtection="1">
      <alignment horizontal="center" wrapText="1"/>
      <protection hidden="1"/>
    </xf>
    <xf numFmtId="0" fontId="100" fillId="0" borderId="70" xfId="1023" applyFont="1" applyFill="1" applyBorder="1" applyAlignment="1" applyProtection="1">
      <alignment horizontal="center"/>
      <protection hidden="1"/>
    </xf>
    <xf numFmtId="0" fontId="100" fillId="0" borderId="71" xfId="1023" applyFont="1" applyFill="1" applyBorder="1" applyAlignment="1" applyProtection="1">
      <alignment horizontal="center"/>
      <protection hidden="1"/>
    </xf>
    <xf numFmtId="2" fontId="47" fillId="5" borderId="101" xfId="1099" applyNumberFormat="1" applyFont="1" applyFill="1" applyBorder="1" applyAlignment="1" applyProtection="1">
      <alignment wrapText="1"/>
      <protection locked="0"/>
    </xf>
    <xf numFmtId="3" fontId="100" fillId="0" borderId="27" xfId="1097" applyNumberFormat="1" applyFont="1" applyFill="1" applyBorder="1" applyAlignment="1" applyProtection="1">
      <alignment horizontal="center"/>
      <protection hidden="1"/>
    </xf>
    <xf numFmtId="181" fontId="100" fillId="0" borderId="26" xfId="1097" applyNumberFormat="1" applyFont="1" applyFill="1" applyBorder="1" applyAlignment="1" applyProtection="1">
      <alignment horizontal="center" vertical="center"/>
      <protection hidden="1"/>
    </xf>
    <xf numFmtId="181" fontId="47" fillId="0" borderId="50" xfId="1023" applyNumberFormat="1" applyFont="1" applyFill="1" applyBorder="1" applyAlignment="1" applyProtection="1">
      <alignment horizontal="center"/>
      <protection hidden="1"/>
    </xf>
    <xf numFmtId="0" fontId="151" fillId="0" borderId="100" xfId="1023" applyFont="1" applyFill="1" applyBorder="1" applyAlignment="1" applyProtection="1">
      <protection hidden="1"/>
    </xf>
    <xf numFmtId="0" fontId="100" fillId="0" borderId="73" xfId="1023" applyFont="1" applyFill="1" applyBorder="1" applyAlignment="1" applyProtection="1">
      <alignment horizontal="center"/>
      <protection hidden="1"/>
    </xf>
    <xf numFmtId="1" fontId="297" fillId="62" borderId="2" xfId="1100" applyNumberFormat="1" applyFont="1" applyFill="1" applyBorder="1" applyAlignment="1">
      <alignment horizontal="center"/>
    </xf>
    <xf numFmtId="1" fontId="297" fillId="62" borderId="25" xfId="1100" applyNumberFormat="1" applyFont="1" applyFill="1" applyBorder="1" applyAlignment="1">
      <alignment horizontal="center"/>
    </xf>
    <xf numFmtId="0" fontId="1" fillId="62" borderId="0" xfId="1100" applyFill="1"/>
    <xf numFmtId="0" fontId="42" fillId="0" borderId="283" xfId="0" applyFont="1" applyBorder="1" applyAlignment="1">
      <alignment horizontal="center" vertical="center" wrapText="1"/>
    </xf>
    <xf numFmtId="0" fontId="42" fillId="0" borderId="21" xfId="0" applyFont="1" applyBorder="1" applyAlignment="1">
      <alignment horizontal="center" vertical="center" wrapText="1"/>
    </xf>
    <xf numFmtId="0" fontId="1" fillId="0" borderId="0" xfId="1100" applyAlignment="1">
      <alignment horizontal="center"/>
    </xf>
    <xf numFmtId="0" fontId="300" fillId="0" borderId="0" xfId="1100" applyFont="1" applyAlignment="1">
      <alignment horizontal="center"/>
    </xf>
    <xf numFmtId="0" fontId="0" fillId="0" borderId="0" xfId="0" applyFont="1"/>
    <xf numFmtId="0" fontId="24" fillId="0" borderId="22" xfId="0" applyFont="1" applyFill="1" applyBorder="1" applyAlignment="1">
      <alignment horizontal="center" vertical="center" wrapText="1"/>
    </xf>
    <xf numFmtId="0" fontId="24" fillId="0" borderId="74" xfId="0" applyFont="1" applyBorder="1" applyAlignment="1">
      <alignment horizontal="center" vertical="center" textRotation="90" wrapText="1"/>
    </xf>
    <xf numFmtId="0" fontId="24" fillId="0" borderId="247" xfId="0" applyFont="1" applyBorder="1" applyAlignment="1">
      <alignment horizontal="center" vertical="center" textRotation="90" wrapText="1"/>
    </xf>
    <xf numFmtId="0" fontId="24" fillId="0" borderId="55" xfId="0" applyFont="1" applyBorder="1" applyAlignment="1">
      <alignment horizontal="center" vertical="center" textRotation="90" wrapText="1"/>
    </xf>
    <xf numFmtId="0" fontId="24" fillId="0" borderId="248" xfId="0" applyFont="1" applyBorder="1" applyAlignment="1">
      <alignment horizontal="center" vertical="center" textRotation="90" wrapText="1"/>
    </xf>
    <xf numFmtId="0" fontId="0" fillId="0" borderId="0" xfId="0" applyFont="1" applyAlignment="1">
      <alignment vertical="top" wrapText="1"/>
    </xf>
    <xf numFmtId="0" fontId="2" fillId="0" borderId="10" xfId="0" applyFont="1" applyFill="1" applyBorder="1" applyAlignment="1">
      <alignment horizontal="left" vertical="center" wrapText="1"/>
    </xf>
    <xf numFmtId="167" fontId="3" fillId="77" borderId="2" xfId="0" applyNumberFormat="1" applyFont="1" applyFill="1" applyBorder="1" applyAlignment="1">
      <alignment horizontal="center" vertical="center" wrapText="1"/>
    </xf>
    <xf numFmtId="3" fontId="3" fillId="77" borderId="2" xfId="0" applyNumberFormat="1" applyFont="1" applyFill="1" applyBorder="1" applyAlignment="1">
      <alignment horizontal="center" vertical="center" wrapText="1"/>
    </xf>
    <xf numFmtId="0" fontId="2" fillId="0" borderId="39" xfId="0" applyFont="1" applyFill="1" applyBorder="1" applyAlignment="1">
      <alignment horizontal="left" vertical="center" wrapText="1"/>
    </xf>
    <xf numFmtId="0" fontId="302" fillId="0" borderId="21" xfId="0" applyFont="1" applyBorder="1" applyAlignment="1">
      <alignment vertical="center" wrapText="1"/>
    </xf>
    <xf numFmtId="167" fontId="2" fillId="0" borderId="252" xfId="0" applyNumberFormat="1" applyFont="1" applyBorder="1" applyAlignment="1">
      <alignment horizontal="center" vertical="center" wrapText="1"/>
    </xf>
    <xf numFmtId="0" fontId="2" fillId="0" borderId="252" xfId="0" applyFont="1" applyBorder="1" applyAlignment="1">
      <alignment horizontal="center" vertical="center" wrapText="1"/>
    </xf>
    <xf numFmtId="181" fontId="2" fillId="0" borderId="252" xfId="0" applyNumberFormat="1" applyFont="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11" xfId="0" applyFont="1" applyFill="1" applyBorder="1" applyAlignment="1">
      <alignment vertical="top" wrapText="1"/>
    </xf>
    <xf numFmtId="0" fontId="303" fillId="0" borderId="252" xfId="0" applyFont="1" applyBorder="1" applyAlignment="1">
      <alignment horizontal="center" vertical="center" wrapText="1"/>
    </xf>
    <xf numFmtId="0" fontId="287" fillId="0" borderId="21" xfId="0" applyFont="1" applyBorder="1" applyAlignment="1">
      <alignment vertical="center" wrapText="1"/>
    </xf>
    <xf numFmtId="0" fontId="3" fillId="0" borderId="24" xfId="0" applyFont="1" applyFill="1" applyBorder="1" applyAlignment="1">
      <alignment vertical="top" wrapText="1"/>
    </xf>
    <xf numFmtId="0" fontId="25" fillId="0" borderId="0" xfId="0" applyFont="1" applyFill="1" applyBorder="1" applyAlignment="1">
      <alignment vertical="top" wrapText="1"/>
    </xf>
    <xf numFmtId="167" fontId="42" fillId="0" borderId="0" xfId="0" applyNumberFormat="1" applyFont="1" applyFill="1" applyBorder="1" applyAlignment="1">
      <alignment horizontal="center" vertical="top" wrapText="1"/>
    </xf>
    <xf numFmtId="0" fontId="2" fillId="0" borderId="2" xfId="0" applyFont="1" applyFill="1" applyBorder="1" applyAlignment="1">
      <alignment horizontal="left" vertical="center" wrapText="1"/>
    </xf>
    <xf numFmtId="0" fontId="24" fillId="3" borderId="2" xfId="0" applyFont="1" applyFill="1" applyBorder="1" applyAlignment="1">
      <alignment vertical="center" wrapText="1"/>
    </xf>
    <xf numFmtId="0" fontId="34" fillId="77" borderId="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 fillId="70" borderId="112" xfId="1063" applyFont="1" applyFill="1" applyBorder="1" applyAlignment="1">
      <alignment horizontal="center" vertical="center"/>
    </xf>
    <xf numFmtId="0" fontId="3" fillId="70" borderId="33" xfId="1063" applyFont="1" applyFill="1" applyBorder="1" applyAlignment="1">
      <alignment vertical="center" wrapText="1"/>
    </xf>
    <xf numFmtId="167" fontId="3" fillId="70" borderId="33" xfId="1063" applyNumberFormat="1" applyFont="1" applyFill="1" applyBorder="1" applyAlignment="1">
      <alignment horizontal="center" vertical="center" wrapText="1"/>
    </xf>
    <xf numFmtId="16" fontId="3" fillId="0" borderId="109" xfId="1063" applyNumberFormat="1" applyFont="1" applyBorder="1" applyAlignment="1">
      <alignment horizontal="center" vertical="center"/>
    </xf>
    <xf numFmtId="16" fontId="2" fillId="0" borderId="109" xfId="1063" applyNumberFormat="1" applyFont="1" applyBorder="1" applyAlignment="1">
      <alignment horizontal="center" vertical="center"/>
    </xf>
    <xf numFmtId="0" fontId="3" fillId="70" borderId="109" xfId="1063" applyFont="1" applyFill="1" applyBorder="1" applyAlignment="1">
      <alignment horizontal="center" vertical="center"/>
    </xf>
    <xf numFmtId="0" fontId="3" fillId="70" borderId="2" xfId="1063" applyFont="1" applyFill="1" applyBorder="1" applyAlignment="1">
      <alignment vertical="center" wrapText="1"/>
    </xf>
    <xf numFmtId="167" fontId="3" fillId="70" borderId="2" xfId="1063" applyNumberFormat="1" applyFont="1" applyFill="1" applyBorder="1" applyAlignment="1">
      <alignment horizontal="center" vertical="center" wrapText="1"/>
    </xf>
    <xf numFmtId="0" fontId="3" fillId="0" borderId="109" xfId="1063" applyFont="1" applyBorder="1" applyAlignment="1">
      <alignment horizontal="center" vertical="center"/>
    </xf>
    <xf numFmtId="0" fontId="2" fillId="0" borderId="109" xfId="1063" applyFont="1" applyBorder="1" applyAlignment="1">
      <alignment horizontal="center" vertical="center"/>
    </xf>
    <xf numFmtId="0" fontId="3" fillId="0" borderId="109" xfId="1063" applyFont="1" applyFill="1" applyBorder="1" applyAlignment="1">
      <alignment horizontal="center" vertical="center"/>
    </xf>
    <xf numFmtId="0" fontId="3" fillId="0" borderId="2" xfId="1063" applyFont="1" applyFill="1" applyBorder="1" applyAlignment="1">
      <alignment vertical="center" wrapText="1"/>
    </xf>
    <xf numFmtId="167" fontId="3" fillId="0" borderId="2" xfId="1063" applyNumberFormat="1" applyFont="1" applyFill="1" applyBorder="1" applyAlignment="1">
      <alignment horizontal="center" vertical="center" wrapText="1"/>
    </xf>
    <xf numFmtId="0" fontId="2" fillId="0" borderId="109" xfId="1063" applyFont="1" applyFill="1" applyBorder="1" applyAlignment="1">
      <alignment horizontal="center" vertical="center"/>
    </xf>
    <xf numFmtId="167" fontId="2" fillId="0" borderId="2" xfId="1063" applyNumberFormat="1" applyFont="1" applyFill="1" applyBorder="1" applyAlignment="1">
      <alignment horizontal="center" vertical="center" wrapText="1"/>
    </xf>
    <xf numFmtId="0" fontId="49" fillId="0" borderId="0" xfId="1063" applyFill="1"/>
    <xf numFmtId="167" fontId="2" fillId="72" borderId="2" xfId="1063" applyNumberFormat="1" applyFont="1" applyFill="1" applyBorder="1" applyAlignment="1">
      <alignment horizontal="center" vertical="center" wrapText="1"/>
    </xf>
    <xf numFmtId="0" fontId="305" fillId="77" borderId="2" xfId="1063" applyFont="1" applyFill="1" applyBorder="1" applyAlignment="1">
      <alignment horizontal="center" vertical="center" wrapText="1"/>
    </xf>
    <xf numFmtId="0" fontId="306" fillId="0" borderId="0" xfId="1063" applyFont="1" applyAlignment="1">
      <alignment horizontal="center"/>
    </xf>
    <xf numFmtId="0" fontId="3" fillId="0" borderId="120" xfId="1063" applyFont="1" applyBorder="1" applyAlignment="1">
      <alignment horizontal="center" vertical="center"/>
    </xf>
    <xf numFmtId="0" fontId="3" fillId="73" borderId="128" xfId="1063" applyFont="1" applyFill="1" applyBorder="1" applyAlignment="1">
      <alignment horizontal="center" vertical="center"/>
    </xf>
    <xf numFmtId="0" fontId="49" fillId="0" borderId="140" xfId="1063" applyBorder="1" applyAlignment="1">
      <alignment horizontal="center" vertical="center"/>
    </xf>
    <xf numFmtId="0" fontId="49" fillId="0" borderId="55" xfId="1063" applyBorder="1" applyAlignment="1">
      <alignment vertical="center"/>
    </xf>
    <xf numFmtId="167" fontId="49" fillId="0" borderId="55" xfId="1063" applyNumberFormat="1" applyBorder="1" applyAlignment="1">
      <alignment vertical="center"/>
    </xf>
    <xf numFmtId="0" fontId="3" fillId="0" borderId="112" xfId="1061" applyFont="1" applyFill="1" applyBorder="1" applyAlignment="1">
      <alignment horizontal="center" vertical="center" wrapText="1"/>
    </xf>
    <xf numFmtId="0" fontId="3" fillId="0" borderId="33" xfId="1061" applyFont="1" applyBorder="1" applyAlignment="1">
      <alignment horizontal="right" vertical="center" wrapText="1"/>
    </xf>
    <xf numFmtId="3" fontId="3" fillId="0" borderId="33" xfId="1061" applyNumberFormat="1" applyFont="1" applyBorder="1" applyAlignment="1">
      <alignment horizontal="center" vertical="center" wrapText="1"/>
    </xf>
    <xf numFmtId="0" fontId="2" fillId="0" borderId="109" xfId="1061" applyFont="1" applyFill="1" applyBorder="1" applyAlignment="1">
      <alignment horizontal="center" vertical="center" wrapText="1"/>
    </xf>
    <xf numFmtId="0" fontId="3" fillId="0" borderId="114" xfId="1061" applyFont="1" applyFill="1" applyBorder="1" applyAlignment="1">
      <alignment horizontal="center" vertical="center" wrapText="1"/>
    </xf>
    <xf numFmtId="0" fontId="3" fillId="0" borderId="115" xfId="1061" applyFont="1" applyBorder="1" applyAlignment="1">
      <alignment vertical="center" wrapText="1"/>
    </xf>
    <xf numFmtId="167" fontId="4" fillId="0" borderId="115" xfId="1061" applyNumberFormat="1" applyFont="1" applyBorder="1" applyAlignment="1">
      <alignment horizontal="center" vertical="center" wrapText="1"/>
    </xf>
    <xf numFmtId="0" fontId="301" fillId="0" borderId="0" xfId="0" applyFont="1" applyFill="1" applyBorder="1" applyAlignment="1">
      <alignment vertical="top"/>
    </xf>
    <xf numFmtId="0" fontId="2" fillId="0" borderId="0" xfId="0" applyFont="1" applyBorder="1" applyAlignment="1">
      <alignment horizontal="left" vertical="top" wrapText="1"/>
    </xf>
    <xf numFmtId="0" fontId="2" fillId="0" borderId="2" xfId="0" applyFont="1" applyBorder="1" applyAlignment="1">
      <alignment horizontal="center" vertical="center" wrapText="1"/>
    </xf>
    <xf numFmtId="0" fontId="100" fillId="0" borderId="42" xfId="1023" applyFont="1" applyFill="1" applyBorder="1" applyAlignment="1" applyProtection="1">
      <alignment horizontal="center" vertical="center" wrapText="1"/>
      <protection hidden="1"/>
    </xf>
    <xf numFmtId="0" fontId="24" fillId="0" borderId="2" xfId="0" applyFont="1" applyBorder="1" applyAlignment="1">
      <alignment horizontal="center" vertical="top" wrapText="1"/>
    </xf>
    <xf numFmtId="0" fontId="2" fillId="0" borderId="2" xfId="0" applyFont="1" applyBorder="1" applyAlignment="1">
      <alignment horizontal="center" vertical="center"/>
    </xf>
    <xf numFmtId="0" fontId="2" fillId="64" borderId="2" xfId="0" applyFont="1" applyFill="1" applyBorder="1" applyAlignment="1">
      <alignment horizontal="center" vertical="top" wrapText="1"/>
    </xf>
    <xf numFmtId="0" fontId="2" fillId="64" borderId="2" xfId="0" applyFont="1" applyFill="1" applyBorder="1" applyAlignment="1">
      <alignment horizontal="left" vertical="top"/>
    </xf>
    <xf numFmtId="3" fontId="2" fillId="64" borderId="2" xfId="0" applyNumberFormat="1" applyFont="1" applyFill="1" applyBorder="1" applyAlignment="1">
      <alignment horizontal="center" vertical="center"/>
    </xf>
    <xf numFmtId="0" fontId="2" fillId="64" borderId="2" xfId="0" applyFont="1" applyFill="1" applyBorder="1" applyAlignment="1">
      <alignment vertical="top" wrapText="1"/>
    </xf>
    <xf numFmtId="3" fontId="2" fillId="77" borderId="2" xfId="0" applyNumberFormat="1" applyFont="1" applyFill="1" applyBorder="1" applyAlignment="1">
      <alignment horizontal="center" vertical="center"/>
    </xf>
    <xf numFmtId="0" fontId="3" fillId="64" borderId="2" xfId="0" applyFont="1" applyFill="1" applyBorder="1" applyAlignment="1">
      <alignment vertical="center" wrapText="1"/>
    </xf>
    <xf numFmtId="3" fontId="3" fillId="64" borderId="2" xfId="0" applyNumberFormat="1" applyFont="1" applyFill="1" applyBorder="1" applyAlignment="1">
      <alignment horizontal="center" vertical="center"/>
    </xf>
    <xf numFmtId="0" fontId="3" fillId="64" borderId="2" xfId="0" applyFont="1" applyFill="1" applyBorder="1" applyAlignment="1">
      <alignment vertical="top" wrapText="1"/>
    </xf>
    <xf numFmtId="0" fontId="2" fillId="75" borderId="2" xfId="0" applyFont="1" applyFill="1" applyBorder="1" applyAlignment="1">
      <alignment horizontal="center" vertical="center"/>
    </xf>
    <xf numFmtId="0" fontId="7" fillId="0" borderId="0" xfId="1096" applyFont="1" applyAlignment="1">
      <alignment horizontal="right" wrapText="1"/>
    </xf>
    <xf numFmtId="0" fontId="2" fillId="0" borderId="283" xfId="1096" applyFont="1" applyBorder="1" applyAlignment="1">
      <alignment wrapText="1"/>
    </xf>
    <xf numFmtId="0" fontId="2" fillId="0" borderId="34" xfId="1096" applyFont="1" applyBorder="1" applyAlignment="1">
      <alignment wrapText="1"/>
    </xf>
    <xf numFmtId="0" fontId="2" fillId="0" borderId="0" xfId="1096" applyFont="1" applyAlignment="1">
      <alignment horizontal="center" wrapText="1"/>
    </xf>
    <xf numFmtId="0" fontId="2" fillId="0" borderId="34" xfId="1096" applyFont="1" applyBorder="1" applyAlignment="1">
      <alignment horizontal="center" wrapText="1"/>
    </xf>
    <xf numFmtId="167" fontId="2" fillId="0" borderId="8" xfId="1096" applyNumberFormat="1" applyFont="1" applyBorder="1" applyAlignment="1">
      <alignment wrapText="1"/>
    </xf>
    <xf numFmtId="0" fontId="2" fillId="0" borderId="1" xfId="1096" applyFont="1" applyBorder="1" applyAlignment="1">
      <alignment wrapText="1"/>
    </xf>
    <xf numFmtId="0" fontId="2" fillId="0" borderId="0" xfId="1096" applyFont="1" applyBorder="1" applyAlignment="1">
      <alignment wrapText="1"/>
    </xf>
    <xf numFmtId="0" fontId="2" fillId="0" borderId="53" xfId="1096" applyFont="1" applyBorder="1" applyAlignment="1">
      <alignment wrapText="1"/>
    </xf>
    <xf numFmtId="0" fontId="2" fillId="0" borderId="56" xfId="1096" applyFont="1" applyBorder="1" applyAlignment="1">
      <alignment wrapText="1"/>
    </xf>
    <xf numFmtId="0" fontId="2" fillId="0" borderId="50" xfId="1096" applyFont="1" applyBorder="1" applyAlignment="1">
      <alignment wrapText="1"/>
    </xf>
    <xf numFmtId="167" fontId="2" fillId="0" borderId="2" xfId="1096" applyNumberFormat="1" applyFont="1" applyBorder="1" applyAlignment="1">
      <alignment wrapText="1"/>
    </xf>
    <xf numFmtId="0" fontId="2" fillId="0" borderId="2" xfId="1096" applyFont="1" applyBorder="1" applyAlignment="1">
      <alignment wrapText="1"/>
    </xf>
    <xf numFmtId="167" fontId="2" fillId="0" borderId="37" xfId="1096" applyNumberFormat="1" applyFont="1" applyBorder="1" applyAlignment="1">
      <alignment wrapText="1"/>
    </xf>
    <xf numFmtId="0" fontId="2" fillId="0" borderId="45" xfId="1096" applyFont="1" applyBorder="1" applyAlignment="1">
      <alignment wrapText="1"/>
    </xf>
    <xf numFmtId="167" fontId="2" fillId="0" borderId="42" xfId="1096" applyNumberFormat="1" applyFont="1" applyBorder="1" applyAlignment="1">
      <alignment wrapText="1"/>
    </xf>
    <xf numFmtId="167" fontId="2" fillId="0" borderId="0" xfId="1096" applyNumberFormat="1" applyFont="1" applyAlignment="1">
      <alignment wrapText="1"/>
    </xf>
    <xf numFmtId="0" fontId="3" fillId="0" borderId="2" xfId="1096" applyFont="1" applyFill="1" applyBorder="1" applyAlignment="1">
      <alignment horizontal="center" vertical="center" wrapText="1"/>
    </xf>
    <xf numFmtId="3" fontId="2" fillId="74" borderId="2" xfId="1096" applyNumberFormat="1" applyFont="1" applyFill="1" applyBorder="1" applyAlignment="1">
      <alignment horizontal="center" wrapText="1"/>
    </xf>
    <xf numFmtId="167" fontId="2" fillId="74" borderId="2" xfId="1096" applyNumberFormat="1" applyFont="1" applyFill="1" applyBorder="1" applyAlignment="1">
      <alignment horizontal="center" wrapText="1"/>
    </xf>
    <xf numFmtId="167" fontId="7" fillId="74" borderId="2" xfId="1096" applyNumberFormat="1" applyFont="1" applyFill="1" applyBorder="1" applyAlignment="1">
      <alignment horizontal="center" wrapText="1"/>
    </xf>
    <xf numFmtId="167" fontId="3" fillId="74" borderId="2" xfId="1096" applyNumberFormat="1" applyFont="1" applyFill="1" applyBorder="1" applyAlignment="1">
      <alignment horizontal="center" wrapText="1"/>
    </xf>
    <xf numFmtId="3" fontId="2" fillId="0" borderId="2" xfId="1096" applyNumberFormat="1" applyFont="1" applyFill="1" applyBorder="1" applyAlignment="1">
      <alignment horizontal="center" wrapText="1"/>
    </xf>
    <xf numFmtId="167" fontId="3" fillId="0" borderId="2" xfId="1096" applyNumberFormat="1" applyFont="1" applyFill="1" applyBorder="1" applyAlignment="1">
      <alignment horizontal="center" wrapText="1"/>
    </xf>
    <xf numFmtId="3" fontId="2" fillId="78" borderId="2" xfId="1096" applyNumberFormat="1" applyFont="1" applyFill="1" applyBorder="1" applyAlignment="1">
      <alignment horizontal="center" wrapText="1"/>
    </xf>
    <xf numFmtId="167" fontId="2" fillId="78" borderId="2" xfId="1096" applyNumberFormat="1" applyFont="1" applyFill="1" applyBorder="1" applyAlignment="1">
      <alignment horizontal="center" wrapText="1"/>
    </xf>
    <xf numFmtId="167" fontId="3" fillId="78" borderId="2" xfId="1096" applyNumberFormat="1" applyFont="1" applyFill="1" applyBorder="1" applyAlignment="1">
      <alignment horizontal="center" wrapText="1"/>
    </xf>
    <xf numFmtId="3" fontId="2" fillId="0" borderId="2" xfId="1096" applyNumberFormat="1" applyFont="1" applyFill="1" applyBorder="1" applyAlignment="1">
      <alignment horizontal="center" vertical="center" wrapText="1"/>
    </xf>
    <xf numFmtId="3" fontId="2" fillId="79" borderId="2" xfId="1096" applyNumberFormat="1" applyFont="1" applyFill="1" applyBorder="1" applyAlignment="1">
      <alignment horizontal="center" vertical="center" wrapText="1"/>
    </xf>
    <xf numFmtId="167" fontId="2" fillId="79" borderId="2" xfId="1096" applyNumberFormat="1" applyFont="1" applyFill="1" applyBorder="1" applyAlignment="1">
      <alignment horizontal="center" wrapText="1"/>
    </xf>
    <xf numFmtId="167" fontId="3" fillId="79" borderId="2" xfId="1096" applyNumberFormat="1" applyFont="1" applyFill="1" applyBorder="1" applyAlignment="1">
      <alignment horizontal="center" wrapText="1"/>
    </xf>
    <xf numFmtId="0" fontId="3" fillId="77" borderId="2" xfId="1096" applyFont="1" applyFill="1" applyBorder="1" applyAlignment="1">
      <alignment horizontal="center" vertical="center" wrapText="1"/>
    </xf>
    <xf numFmtId="167" fontId="3" fillId="63" borderId="2" xfId="1096" applyNumberFormat="1" applyFont="1" applyFill="1" applyBorder="1" applyAlignment="1">
      <alignment horizontal="center" vertical="center" wrapText="1"/>
    </xf>
    <xf numFmtId="167" fontId="305" fillId="0" borderId="34" xfId="1096" applyNumberFormat="1" applyFont="1" applyBorder="1" applyAlignment="1">
      <alignment wrapText="1"/>
    </xf>
    <xf numFmtId="3" fontId="2" fillId="73" borderId="2" xfId="0" applyNumberFormat="1" applyFont="1" applyFill="1" applyBorder="1" applyAlignment="1">
      <alignment horizontal="center" vertical="center"/>
    </xf>
    <xf numFmtId="0" fontId="283" fillId="0" borderId="0" xfId="1061" applyFont="1" applyBorder="1" applyAlignment="1">
      <alignment horizontal="center" vertical="center"/>
    </xf>
    <xf numFmtId="0" fontId="27" fillId="0" borderId="2" xfId="1061" applyFont="1" applyBorder="1" applyAlignment="1">
      <alignment horizontal="center" vertical="center" wrapText="1"/>
    </xf>
    <xf numFmtId="0" fontId="27" fillId="0" borderId="2" xfId="1061" applyFont="1" applyBorder="1" applyAlignment="1">
      <alignment horizontal="center" vertical="top" wrapText="1"/>
    </xf>
    <xf numFmtId="0" fontId="27" fillId="0" borderId="2" xfId="1061" applyFont="1" applyBorder="1" applyAlignment="1">
      <alignment horizontal="center" wrapText="1"/>
    </xf>
    <xf numFmtId="0" fontId="23" fillId="0" borderId="2" xfId="1061" applyFont="1" applyBorder="1" applyAlignment="1">
      <alignment horizontal="center"/>
    </xf>
    <xf numFmtId="0" fontId="284" fillId="0" borderId="2" xfId="1061" applyFont="1" applyBorder="1" applyAlignment="1">
      <alignment horizontal="center" vertical="center" wrapText="1"/>
    </xf>
    <xf numFmtId="0" fontId="284" fillId="0" borderId="2" xfId="1061" applyFont="1" applyBorder="1" applyAlignment="1">
      <alignment horizontal="left" vertical="top" wrapText="1"/>
    </xf>
    <xf numFmtId="4" fontId="283" fillId="0" borderId="2" xfId="1061" applyNumberFormat="1" applyFont="1" applyBorder="1" applyAlignment="1">
      <alignment horizontal="center" vertical="distributed"/>
    </xf>
    <xf numFmtId="2" fontId="284" fillId="0" borderId="2" xfId="1061" applyNumberFormat="1" applyFont="1" applyBorder="1" applyAlignment="1">
      <alignment horizontal="center" vertical="top" wrapText="1"/>
    </xf>
    <xf numFmtId="16" fontId="8" fillId="0" borderId="2" xfId="1061" applyNumberFormat="1" applyFont="1" applyBorder="1" applyAlignment="1">
      <alignment horizontal="center" vertical="top"/>
    </xf>
    <xf numFmtId="0" fontId="285" fillId="0" borderId="2" xfId="1061" applyFont="1" applyBorder="1" applyAlignment="1">
      <alignment vertical="top" wrapText="1"/>
    </xf>
    <xf numFmtId="4" fontId="8" fillId="0" borderId="2" xfId="1061" applyNumberFormat="1" applyFont="1" applyBorder="1" applyAlignment="1">
      <alignment horizontal="center"/>
    </xf>
    <xf numFmtId="0" fontId="286" fillId="0" borderId="2" xfId="1061" applyFont="1" applyBorder="1" applyAlignment="1">
      <alignment vertical="top" wrapText="1"/>
    </xf>
    <xf numFmtId="0" fontId="8" fillId="0" borderId="2" xfId="1061" applyFont="1" applyBorder="1" applyAlignment="1">
      <alignment horizontal="center" vertical="center"/>
    </xf>
    <xf numFmtId="4" fontId="8" fillId="0" borderId="2" xfId="1061" applyNumberFormat="1" applyFont="1" applyBorder="1" applyAlignment="1">
      <alignment horizontal="center" vertical="distributed"/>
    </xf>
    <xf numFmtId="0" fontId="289" fillId="0" borderId="0" xfId="1061" applyFont="1" applyBorder="1" applyAlignment="1">
      <alignment vertical="center"/>
    </xf>
    <xf numFmtId="0" fontId="289" fillId="0" borderId="0" xfId="1061" applyFont="1" applyBorder="1" applyAlignment="1">
      <alignment horizontal="right" vertical="center"/>
    </xf>
    <xf numFmtId="167" fontId="276" fillId="77" borderId="2" xfId="1062" applyNumberFormat="1" applyFont="1" applyFill="1" applyBorder="1" applyAlignment="1">
      <alignment horizontal="center" vertical="center"/>
    </xf>
    <xf numFmtId="3" fontId="276" fillId="77" borderId="2" xfId="1062" applyNumberFormat="1" applyFont="1" applyFill="1" applyBorder="1" applyAlignment="1">
      <alignment horizontal="center" vertical="center"/>
    </xf>
    <xf numFmtId="3" fontId="276" fillId="0" borderId="2" xfId="1064" applyNumberFormat="1" applyFont="1" applyFill="1" applyBorder="1" applyAlignment="1">
      <alignment horizontal="center" vertical="center"/>
    </xf>
    <xf numFmtId="3" fontId="2" fillId="0" borderId="2" xfId="1087" applyNumberFormat="1" applyFont="1" applyFill="1" applyBorder="1" applyAlignment="1">
      <alignment horizontal="center" vertical="center"/>
    </xf>
    <xf numFmtId="3" fontId="2" fillId="77" borderId="2" xfId="0" applyNumberFormat="1" applyFont="1" applyFill="1" applyBorder="1" applyAlignment="1">
      <alignment horizontal="center" vertical="center" wrapText="1"/>
    </xf>
    <xf numFmtId="3" fontId="2" fillId="72" borderId="2" xfId="1063" applyNumberFormat="1" applyFont="1" applyFill="1" applyBorder="1" applyAlignment="1">
      <alignment horizontal="center" vertical="center" wrapText="1"/>
    </xf>
    <xf numFmtId="167" fontId="3" fillId="77" borderId="2" xfId="1096" applyNumberFormat="1" applyFont="1" applyFill="1" applyBorder="1" applyAlignment="1">
      <alignment horizontal="center" wrapText="1"/>
    </xf>
    <xf numFmtId="0" fontId="276" fillId="0" borderId="2" xfId="1062" applyFont="1" applyBorder="1" applyAlignment="1">
      <alignment horizontal="center" vertical="center" wrapText="1"/>
    </xf>
    <xf numFmtId="0" fontId="276" fillId="0" borderId="2" xfId="1062" applyFont="1" applyBorder="1" applyAlignment="1">
      <alignment horizontal="center" vertical="distributed"/>
    </xf>
    <xf numFmtId="0" fontId="276" fillId="0" borderId="2" xfId="1062" applyFont="1" applyFill="1" applyBorder="1" applyAlignment="1">
      <alignment horizontal="left" vertical="center" wrapText="1"/>
    </xf>
    <xf numFmtId="0" fontId="276" fillId="0" borderId="2" xfId="1062" applyFont="1" applyBorder="1" applyAlignment="1">
      <alignment horizontal="left" vertical="center" wrapText="1"/>
    </xf>
    <xf numFmtId="0" fontId="272" fillId="0" borderId="2" xfId="1062" applyFont="1" applyFill="1" applyBorder="1" applyAlignment="1">
      <alignment horizontal="left" vertical="center" wrapText="1"/>
    </xf>
    <xf numFmtId="0" fontId="276" fillId="70" borderId="2" xfId="1062" applyFont="1" applyFill="1" applyBorder="1" applyAlignment="1">
      <alignment horizontal="left" vertical="center" wrapText="1"/>
    </xf>
    <xf numFmtId="0" fontId="27" fillId="0" borderId="2" xfId="1063" applyFont="1" applyBorder="1" applyAlignment="1">
      <alignment vertical="center" wrapText="1"/>
    </xf>
    <xf numFmtId="0" fontId="276" fillId="0" borderId="2" xfId="1061" applyFont="1" applyBorder="1" applyAlignment="1">
      <alignment horizontal="left" vertical="center" wrapText="1"/>
    </xf>
    <xf numFmtId="167" fontId="276" fillId="0" borderId="2" xfId="1064" applyNumberFormat="1" applyFont="1" applyBorder="1" applyAlignment="1">
      <alignment horizontal="center" vertical="center"/>
    </xf>
    <xf numFmtId="0" fontId="272" fillId="71" borderId="2" xfId="1062" applyFont="1" applyFill="1" applyBorder="1" applyAlignment="1">
      <alignment horizontal="left" vertical="center" wrapText="1"/>
    </xf>
    <xf numFmtId="3" fontId="272" fillId="71" borderId="2" xfId="1064" applyNumberFormat="1" applyFont="1" applyFill="1" applyBorder="1" applyAlignment="1">
      <alignment horizontal="center" vertical="center"/>
    </xf>
    <xf numFmtId="0" fontId="307" fillId="64" borderId="0" xfId="1061" applyFont="1" applyFill="1" applyBorder="1" applyAlignment="1"/>
    <xf numFmtId="3" fontId="2" fillId="0" borderId="2" xfId="0" applyNumberFormat="1" applyFont="1" applyFill="1" applyBorder="1" applyAlignment="1">
      <alignment vertical="center" wrapText="1"/>
    </xf>
    <xf numFmtId="3" fontId="2" fillId="0" borderId="2" xfId="0" applyNumberFormat="1" applyFont="1" applyBorder="1" applyAlignment="1">
      <alignment vertical="center" wrapText="1"/>
    </xf>
    <xf numFmtId="3" fontId="2" fillId="76" borderId="2" xfId="0" applyNumberFormat="1" applyFont="1" applyFill="1" applyBorder="1" applyAlignment="1">
      <alignment vertical="center" wrapText="1"/>
    </xf>
    <xf numFmtId="3" fontId="2" fillId="76" borderId="2" xfId="0" applyNumberFormat="1" applyFont="1" applyFill="1" applyBorder="1" applyAlignment="1">
      <alignment horizontal="center" vertical="center" wrapText="1"/>
    </xf>
    <xf numFmtId="3" fontId="2" fillId="64" borderId="2" xfId="0" applyNumberFormat="1" applyFont="1" applyFill="1" applyBorder="1" applyAlignment="1">
      <alignment horizontal="center" vertical="center" wrapText="1"/>
    </xf>
    <xf numFmtId="3" fontId="3" fillId="70" borderId="2" xfId="0" applyNumberFormat="1" applyFont="1" applyFill="1" applyBorder="1" applyAlignment="1">
      <alignment vertical="center"/>
    </xf>
    <xf numFmtId="3" fontId="3" fillId="70" borderId="2" xfId="0" applyNumberFormat="1" applyFont="1" applyFill="1" applyBorder="1" applyAlignment="1">
      <alignment horizontal="center" vertical="center"/>
    </xf>
    <xf numFmtId="0" fontId="2" fillId="0" borderId="2" xfId="0" applyFont="1" applyBorder="1" applyAlignment="1">
      <alignment vertical="center"/>
    </xf>
    <xf numFmtId="167" fontId="2" fillId="0" borderId="2" xfId="0" applyNumberFormat="1" applyFont="1" applyBorder="1" applyAlignment="1">
      <alignment horizontal="left" vertical="center"/>
    </xf>
    <xf numFmtId="167" fontId="3" fillId="76" borderId="2" xfId="0" applyNumberFormat="1" applyFont="1" applyFill="1" applyBorder="1" applyAlignment="1">
      <alignment horizontal="left" vertical="center"/>
    </xf>
    <xf numFmtId="167" fontId="3" fillId="76" borderId="2" xfId="0" applyNumberFormat="1" applyFont="1" applyFill="1" applyBorder="1" applyAlignment="1">
      <alignment horizontal="center" vertical="center"/>
    </xf>
    <xf numFmtId="0" fontId="272" fillId="80" borderId="0" xfId="1100" applyFont="1" applyFill="1" applyAlignment="1">
      <alignment horizontal="center" wrapText="1"/>
    </xf>
    <xf numFmtId="0" fontId="265" fillId="0" borderId="12" xfId="1023" applyFont="1" applyFill="1" applyBorder="1" applyAlignment="1" applyProtection="1">
      <alignment vertical="center" wrapText="1"/>
      <protection locked="0"/>
    </xf>
    <xf numFmtId="3" fontId="265" fillId="0" borderId="14" xfId="1023" applyNumberFormat="1" applyFont="1" applyFill="1" applyBorder="1" applyAlignment="1" applyProtection="1">
      <alignment horizontal="center"/>
      <protection locked="0"/>
    </xf>
    <xf numFmtId="181" fontId="265" fillId="0" borderId="74" xfId="1023" applyNumberFormat="1" applyFont="1" applyFill="1" applyBorder="1" applyAlignment="1" applyProtection="1">
      <alignment horizontal="center"/>
      <protection locked="0"/>
    </xf>
    <xf numFmtId="181" fontId="265" fillId="0" borderId="75" xfId="1023" applyNumberFormat="1" applyFont="1" applyFill="1" applyBorder="1" applyAlignment="1" applyProtection="1">
      <alignment horizontal="center"/>
      <protection locked="0"/>
    </xf>
    <xf numFmtId="181" fontId="265" fillId="0" borderId="22" xfId="1023" applyNumberFormat="1" applyFont="1" applyFill="1" applyBorder="1" applyAlignment="1" applyProtection="1">
      <alignment horizontal="center"/>
      <protection locked="0"/>
    </xf>
    <xf numFmtId="181" fontId="265" fillId="0" borderId="247" xfId="1023" applyNumberFormat="1" applyFont="1" applyFill="1" applyBorder="1" applyAlignment="1" applyProtection="1">
      <alignment horizontal="center"/>
      <protection locked="0"/>
    </xf>
    <xf numFmtId="181" fontId="265" fillId="0" borderId="248" xfId="1023" applyNumberFormat="1" applyFont="1" applyFill="1" applyBorder="1" applyAlignment="1" applyProtection="1">
      <alignment horizontal="center"/>
      <protection locked="0"/>
    </xf>
    <xf numFmtId="181" fontId="265" fillId="0" borderId="14" xfId="1023" applyNumberFormat="1" applyFont="1" applyFill="1" applyBorder="1" applyAlignment="1" applyProtection="1">
      <alignment horizontal="center"/>
      <protection locked="0"/>
    </xf>
    <xf numFmtId="181" fontId="47" fillId="77" borderId="16" xfId="1099" applyNumberFormat="1" applyFont="1" applyFill="1" applyBorder="1" applyAlignment="1" applyProtection="1">
      <alignment horizontal="center" vertical="center"/>
      <protection hidden="1"/>
    </xf>
    <xf numFmtId="181" fontId="47" fillId="77" borderId="1" xfId="1099" applyNumberFormat="1" applyFont="1" applyFill="1" applyBorder="1" applyAlignment="1" applyProtection="1">
      <alignment horizontal="center" vertical="center"/>
      <protection hidden="1"/>
    </xf>
    <xf numFmtId="181" fontId="47" fillId="77" borderId="11" xfId="1099" applyNumberFormat="1" applyFont="1" applyFill="1" applyBorder="1" applyAlignment="1" applyProtection="1">
      <alignment horizontal="center" vertical="center"/>
      <protection hidden="1"/>
    </xf>
    <xf numFmtId="2" fontId="100" fillId="77" borderId="17" xfId="1023" applyNumberFormat="1" applyFont="1" applyFill="1" applyBorder="1" applyAlignment="1" applyProtection="1">
      <alignment horizontal="center" vertical="center"/>
      <protection hidden="1"/>
    </xf>
    <xf numFmtId="2" fontId="100" fillId="77" borderId="32" xfId="1023" applyNumberFormat="1" applyFont="1" applyFill="1" applyBorder="1" applyAlignment="1" applyProtection="1">
      <alignment vertical="center"/>
      <protection hidden="1"/>
    </xf>
    <xf numFmtId="0" fontId="265" fillId="0" borderId="19" xfId="1023" applyFont="1" applyFill="1" applyBorder="1" applyAlignment="1" applyProtection="1">
      <alignment vertical="center" wrapText="1"/>
      <protection locked="0"/>
    </xf>
    <xf numFmtId="3" fontId="265" fillId="0" borderId="21" xfId="1023" applyNumberFormat="1" applyFont="1" applyFill="1" applyBorder="1" applyAlignment="1" applyProtection="1">
      <alignment horizontal="center" vertical="center"/>
      <protection locked="0"/>
    </xf>
    <xf numFmtId="181" fontId="265" fillId="0" borderId="282" xfId="1023" applyNumberFormat="1" applyFont="1" applyFill="1" applyBorder="1" applyAlignment="1" applyProtection="1">
      <alignment horizontal="center" vertical="center"/>
      <protection locked="0"/>
    </xf>
    <xf numFmtId="181" fontId="265" fillId="0" borderId="129" xfId="1023" applyNumberFormat="1" applyFont="1" applyFill="1" applyBorder="1" applyAlignment="1" applyProtection="1">
      <alignment horizontal="center" vertical="center"/>
      <protection locked="0"/>
    </xf>
    <xf numFmtId="181" fontId="265" fillId="0" borderId="20" xfId="1023" applyNumberFormat="1" applyFont="1" applyFill="1" applyBorder="1" applyAlignment="1" applyProtection="1">
      <alignment horizontal="center" vertical="center"/>
      <protection locked="0"/>
    </xf>
    <xf numFmtId="181" fontId="265" fillId="0" borderId="40" xfId="1023" applyNumberFormat="1" applyFont="1" applyFill="1" applyBorder="1" applyAlignment="1" applyProtection="1">
      <alignment horizontal="center" vertical="center"/>
      <protection locked="0"/>
    </xf>
    <xf numFmtId="181" fontId="265" fillId="0" borderId="271" xfId="1023" applyNumberFormat="1" applyFont="1" applyFill="1" applyBorder="1" applyAlignment="1" applyProtection="1">
      <alignment horizontal="center" vertical="center"/>
      <protection locked="0"/>
    </xf>
    <xf numFmtId="0" fontId="265" fillId="0" borderId="21" xfId="1023" applyFont="1" applyFill="1" applyBorder="1" applyAlignment="1" applyProtection="1">
      <alignment vertical="center" wrapText="1"/>
      <protection locked="0"/>
    </xf>
    <xf numFmtId="3" fontId="265" fillId="0" borderId="282" xfId="1023" applyNumberFormat="1" applyFont="1" applyFill="1" applyBorder="1" applyAlignment="1" applyProtection="1">
      <alignment horizontal="center"/>
      <protection locked="0"/>
    </xf>
    <xf numFmtId="181" fontId="265" fillId="0" borderId="40" xfId="1023" applyNumberFormat="1" applyFont="1" applyFill="1" applyBorder="1" applyAlignment="1" applyProtection="1">
      <alignment horizontal="center"/>
      <protection locked="0"/>
    </xf>
    <xf numFmtId="181" fontId="265" fillId="0" borderId="129" xfId="1023" applyNumberFormat="1" applyFont="1" applyFill="1" applyBorder="1" applyAlignment="1" applyProtection="1">
      <alignment horizontal="center"/>
      <protection locked="0"/>
    </xf>
    <xf numFmtId="181" fontId="265" fillId="0" borderId="20" xfId="1023" applyNumberFormat="1" applyFont="1" applyFill="1" applyBorder="1" applyAlignment="1" applyProtection="1">
      <alignment horizontal="center"/>
      <protection locked="0"/>
    </xf>
    <xf numFmtId="181" fontId="265" fillId="0" borderId="271" xfId="1023" applyNumberFormat="1" applyFont="1" applyFill="1" applyBorder="1" applyAlignment="1" applyProtection="1">
      <alignment horizontal="center"/>
      <protection locked="0"/>
    </xf>
    <xf numFmtId="181" fontId="265" fillId="0" borderId="252" xfId="1023" applyNumberFormat="1" applyFont="1" applyFill="1" applyBorder="1" applyAlignment="1" applyProtection="1">
      <alignment horizontal="center"/>
      <protection locked="0"/>
    </xf>
    <xf numFmtId="181" fontId="47" fillId="75" borderId="16" xfId="1099" applyNumberFormat="1" applyFont="1" applyFill="1" applyBorder="1" applyAlignment="1" applyProtection="1">
      <alignment horizontal="center" vertical="center"/>
      <protection hidden="1"/>
    </xf>
    <xf numFmtId="181" fontId="47" fillId="75" borderId="1" xfId="1099" applyNumberFormat="1" applyFont="1" applyFill="1" applyBorder="1" applyAlignment="1" applyProtection="1">
      <alignment horizontal="center" vertical="center"/>
      <protection hidden="1"/>
    </xf>
    <xf numFmtId="2" fontId="100" fillId="75" borderId="32" xfId="1023" applyNumberFormat="1" applyFont="1" applyFill="1" applyBorder="1" applyAlignment="1" applyProtection="1">
      <alignment vertical="center"/>
      <protection hidden="1"/>
    </xf>
    <xf numFmtId="2" fontId="100" fillId="75" borderId="60" xfId="1023" applyNumberFormat="1" applyFont="1" applyFill="1" applyBorder="1" applyAlignment="1" applyProtection="1">
      <alignment vertical="center"/>
      <protection hidden="1"/>
    </xf>
    <xf numFmtId="181" fontId="47" fillId="75" borderId="11" xfId="1099" applyNumberFormat="1" applyFont="1" applyFill="1" applyBorder="1" applyAlignment="1" applyProtection="1">
      <alignment horizontal="center" vertical="center"/>
      <protection hidden="1"/>
    </xf>
    <xf numFmtId="181" fontId="47" fillId="75" borderId="16" xfId="1099" applyNumberFormat="1" applyFont="1" applyFill="1" applyBorder="1" applyAlignment="1" applyProtection="1">
      <alignment horizontal="center" vertical="center"/>
      <protection locked="0"/>
    </xf>
    <xf numFmtId="181" fontId="47" fillId="75" borderId="1" xfId="1099" applyNumberFormat="1" applyFont="1" applyFill="1" applyBorder="1" applyAlignment="1" applyProtection="1">
      <alignment horizontal="center" vertical="center"/>
      <protection locked="0"/>
    </xf>
    <xf numFmtId="181" fontId="47" fillId="75" borderId="24" xfId="1099" applyNumberFormat="1" applyFont="1" applyFill="1" applyBorder="1" applyAlignment="1" applyProtection="1">
      <alignment horizontal="center" vertical="center"/>
      <protection locked="0"/>
    </xf>
    <xf numFmtId="181" fontId="47" fillId="75" borderId="11" xfId="1099" applyNumberFormat="1" applyFont="1" applyFill="1" applyBorder="1" applyAlignment="1" applyProtection="1">
      <alignment horizontal="center" vertical="center"/>
      <protection locked="0"/>
    </xf>
    <xf numFmtId="181" fontId="47" fillId="0" borderId="59" xfId="1023" applyNumberFormat="1" applyFont="1" applyFill="1" applyBorder="1" applyAlignment="1" applyProtection="1">
      <alignment horizontal="center" vertical="center"/>
      <protection hidden="1"/>
    </xf>
    <xf numFmtId="181" fontId="47" fillId="0" borderId="42" xfId="1023" applyNumberFormat="1" applyFont="1" applyFill="1" applyBorder="1" applyAlignment="1" applyProtection="1">
      <alignment horizontal="center" vertical="center"/>
      <protection hidden="1"/>
    </xf>
    <xf numFmtId="181" fontId="47" fillId="0" borderId="282" xfId="1023" applyNumberFormat="1" applyFont="1" applyFill="1" applyBorder="1" applyAlignment="1" applyProtection="1">
      <alignment horizontal="center" vertical="center"/>
      <protection hidden="1"/>
    </xf>
    <xf numFmtId="181" fontId="47" fillId="75" borderId="30" xfId="1099" applyNumberFormat="1" applyFont="1" applyFill="1" applyBorder="1" applyAlignment="1" applyProtection="1">
      <alignment horizontal="center" vertical="center"/>
      <protection hidden="1"/>
    </xf>
    <xf numFmtId="181" fontId="47" fillId="75" borderId="24" xfId="1099" applyNumberFormat="1" applyFont="1" applyFill="1" applyBorder="1" applyAlignment="1" applyProtection="1">
      <alignment horizontal="center" vertical="center"/>
      <protection hidden="1"/>
    </xf>
    <xf numFmtId="3" fontId="265" fillId="0" borderId="21" xfId="1023" applyNumberFormat="1" applyFont="1" applyFill="1" applyBorder="1" applyAlignment="1" applyProtection="1">
      <alignment horizontal="center"/>
      <protection locked="0"/>
    </xf>
    <xf numFmtId="181" fontId="265" fillId="0" borderId="282" xfId="1023" applyNumberFormat="1" applyFont="1" applyFill="1" applyBorder="1" applyAlignment="1" applyProtection="1">
      <alignment horizontal="center"/>
      <protection locked="0"/>
    </xf>
    <xf numFmtId="181" fontId="265" fillId="0" borderId="21" xfId="1023" applyNumberFormat="1" applyFont="1" applyFill="1" applyBorder="1" applyAlignment="1" applyProtection="1">
      <alignment horizontal="center"/>
      <protection locked="0"/>
    </xf>
    <xf numFmtId="181" fontId="47" fillId="75" borderId="16" xfId="1099" applyNumberFormat="1" applyFont="1" applyFill="1" applyBorder="1" applyAlignment="1" applyProtection="1">
      <alignment horizontal="center"/>
      <protection locked="0"/>
    </xf>
    <xf numFmtId="181" fontId="47" fillId="75" borderId="1" xfId="1099" applyNumberFormat="1" applyFont="1" applyFill="1" applyBorder="1" applyAlignment="1" applyProtection="1">
      <alignment horizontal="center"/>
      <protection locked="0"/>
    </xf>
    <xf numFmtId="181" fontId="47" fillId="75" borderId="11" xfId="1099" applyNumberFormat="1" applyFont="1" applyFill="1" applyBorder="1" applyAlignment="1" applyProtection="1">
      <alignment horizontal="center"/>
      <protection locked="0"/>
    </xf>
    <xf numFmtId="181" fontId="47" fillId="75" borderId="36" xfId="1099" applyNumberFormat="1" applyFont="1" applyFill="1" applyBorder="1" applyAlignment="1" applyProtection="1">
      <alignment horizontal="center"/>
      <protection locked="0"/>
    </xf>
    <xf numFmtId="181" fontId="47" fillId="75" borderId="42" xfId="1099" applyNumberFormat="1" applyFont="1" applyFill="1" applyBorder="1" applyAlignment="1" applyProtection="1">
      <alignment horizontal="center"/>
      <protection locked="0"/>
    </xf>
    <xf numFmtId="181" fontId="47" fillId="75" borderId="50" xfId="1099" applyNumberFormat="1" applyFont="1" applyFill="1" applyBorder="1" applyAlignment="1" applyProtection="1">
      <alignment horizontal="center"/>
      <protection locked="0"/>
    </xf>
    <xf numFmtId="2" fontId="100" fillId="0" borderId="17" xfId="1023" applyNumberFormat="1" applyFont="1" applyFill="1" applyBorder="1" applyAlignment="1" applyProtection="1">
      <alignment horizontal="center" vertical="center"/>
      <protection hidden="1"/>
    </xf>
    <xf numFmtId="0" fontId="2" fillId="63" borderId="2" xfId="0" applyFont="1" applyFill="1" applyBorder="1" applyAlignment="1">
      <alignment horizontal="center" vertical="center" wrapText="1"/>
    </xf>
    <xf numFmtId="0" fontId="23" fillId="63" borderId="2" xfId="0" applyFont="1" applyFill="1" applyBorder="1" applyAlignment="1">
      <alignment horizontal="center" vertical="center" wrapText="1"/>
    </xf>
    <xf numFmtId="0" fontId="297" fillId="0" borderId="33" xfId="1100" applyFont="1" applyFill="1" applyBorder="1" applyAlignment="1">
      <alignment horizontal="center"/>
    </xf>
    <xf numFmtId="0" fontId="297" fillId="0" borderId="2" xfId="1100" applyFont="1" applyFill="1" applyBorder="1" applyAlignment="1">
      <alignment horizontal="center"/>
    </xf>
    <xf numFmtId="4" fontId="283" fillId="0" borderId="2" xfId="1061" applyNumberFormat="1" applyFont="1" applyFill="1" applyBorder="1" applyAlignment="1">
      <alignment horizontal="center" vertical="distributed"/>
    </xf>
    <xf numFmtId="0" fontId="23" fillId="0" borderId="2" xfId="1061" applyFont="1" applyFill="1" applyBorder="1" applyAlignment="1">
      <alignment horizontal="center" vertical="center"/>
    </xf>
    <xf numFmtId="3" fontId="305" fillId="77" borderId="2" xfId="0" applyNumberFormat="1" applyFont="1" applyFill="1" applyBorder="1" applyAlignment="1">
      <alignment horizontal="center" vertical="center" wrapText="1"/>
    </xf>
    <xf numFmtId="0" fontId="291" fillId="0" borderId="142" xfId="1" applyFont="1" applyFill="1" applyBorder="1" applyAlignment="1" applyProtection="1">
      <alignment horizontal="left"/>
    </xf>
    <xf numFmtId="0" fontId="291" fillId="0" borderId="162" xfId="1" applyFont="1" applyFill="1" applyBorder="1" applyAlignment="1" applyProtection="1">
      <alignment horizontal="left"/>
    </xf>
    <xf numFmtId="0" fontId="2" fillId="0" borderId="8" xfId="0" applyFont="1" applyBorder="1" applyAlignment="1">
      <alignment horizontal="left" vertical="top" wrapText="1"/>
    </xf>
    <xf numFmtId="0" fontId="2" fillId="0" borderId="42" xfId="0" applyFont="1" applyBorder="1" applyAlignment="1">
      <alignment horizontal="left" vertical="top" wrapText="1"/>
    </xf>
    <xf numFmtId="0" fontId="3" fillId="7" borderId="8" xfId="0" applyFont="1" applyFill="1" applyBorder="1" applyAlignment="1">
      <alignment horizontal="center"/>
    </xf>
    <xf numFmtId="0" fontId="3" fillId="7" borderId="42" xfId="0" applyFont="1" applyFill="1" applyBorder="1" applyAlignment="1">
      <alignment horizontal="center"/>
    </xf>
    <xf numFmtId="0" fontId="2" fillId="8" borderId="38" xfId="0" applyFont="1" applyFill="1" applyBorder="1" applyAlignment="1">
      <alignment horizontal="left" vertical="top" wrapText="1"/>
    </xf>
    <xf numFmtId="0" fontId="2" fillId="8" borderId="50" xfId="0" applyFont="1" applyFill="1" applyBorder="1" applyAlignment="1">
      <alignment horizontal="left" vertical="top" wrapText="1"/>
    </xf>
    <xf numFmtId="0" fontId="291" fillId="0" borderId="172" xfId="1" applyFont="1" applyFill="1" applyBorder="1" applyAlignment="1" applyProtection="1">
      <alignment horizontal="left"/>
    </xf>
    <xf numFmtId="0" fontId="291" fillId="0" borderId="280" xfId="1" applyFont="1" applyFill="1" applyBorder="1" applyAlignment="1" applyProtection="1">
      <alignment horizontal="left"/>
    </xf>
    <xf numFmtId="0" fontId="269" fillId="0" borderId="174" xfId="1" applyFont="1" applyFill="1" applyBorder="1" applyAlignment="1" applyProtection="1">
      <alignment horizontal="left"/>
    </xf>
    <xf numFmtId="0" fontId="269" fillId="0" borderId="135" xfId="1" applyFont="1" applyFill="1" applyBorder="1" applyAlignment="1" applyProtection="1">
      <alignment horizontal="left"/>
    </xf>
    <xf numFmtId="0" fontId="8" fillId="0" borderId="0" xfId="0" applyFont="1" applyFill="1" applyBorder="1" applyAlignment="1">
      <alignment horizontal="center"/>
    </xf>
    <xf numFmtId="0" fontId="283" fillId="0" borderId="0" xfId="0" applyFont="1" applyFill="1" applyBorder="1" applyAlignment="1">
      <alignment horizontal="center"/>
    </xf>
    <xf numFmtId="0" fontId="291" fillId="0" borderId="148" xfId="1" applyFont="1" applyFill="1" applyBorder="1" applyAlignment="1" applyProtection="1">
      <alignment horizontal="left"/>
    </xf>
    <xf numFmtId="0" fontId="291" fillId="0" borderId="253" xfId="1" applyFont="1" applyFill="1" applyBorder="1" applyAlignment="1" applyProtection="1">
      <alignment horizontal="left"/>
    </xf>
    <xf numFmtId="0" fontId="291" fillId="0" borderId="175" xfId="1" applyFont="1" applyBorder="1" applyAlignment="1" applyProtection="1">
      <alignment horizontal="left"/>
    </xf>
    <xf numFmtId="0" fontId="291" fillId="0" borderId="108" xfId="1" applyFont="1" applyBorder="1" applyAlignment="1" applyProtection="1">
      <alignment horizontal="left"/>
    </xf>
    <xf numFmtId="0" fontId="283" fillId="0" borderId="174" xfId="1061" applyFont="1" applyBorder="1" applyAlignment="1">
      <alignment horizontal="center" vertical="center"/>
    </xf>
    <xf numFmtId="0" fontId="283" fillId="0" borderId="254" xfId="1061" applyFont="1" applyBorder="1" applyAlignment="1">
      <alignment horizontal="center" vertical="center"/>
    </xf>
    <xf numFmtId="0" fontId="283" fillId="0" borderId="0" xfId="1061" applyFont="1" applyAlignment="1">
      <alignment horizontal="center"/>
    </xf>
    <xf numFmtId="0" fontId="284" fillId="0" borderId="103" xfId="1061" applyFont="1" applyBorder="1" applyAlignment="1">
      <alignment horizontal="center" vertical="center" wrapText="1"/>
    </xf>
    <xf numFmtId="0" fontId="284" fillId="0" borderId="120" xfId="1061" applyFont="1" applyBorder="1" applyAlignment="1">
      <alignment horizontal="center" vertical="center" wrapText="1"/>
    </xf>
    <xf numFmtId="0" fontId="284" fillId="0" borderId="164" xfId="1061" applyFont="1" applyBorder="1" applyAlignment="1">
      <alignment horizontal="center" vertical="center" wrapText="1"/>
    </xf>
    <xf numFmtId="0" fontId="284" fillId="0" borderId="3" xfId="1061" applyFont="1" applyBorder="1" applyAlignment="1">
      <alignment horizontal="center" vertical="center" wrapText="1"/>
    </xf>
    <xf numFmtId="0" fontId="284" fillId="0" borderId="104" xfId="1061" applyFont="1" applyBorder="1" applyAlignment="1">
      <alignment horizontal="center" vertical="center" wrapText="1"/>
    </xf>
    <xf numFmtId="0" fontId="284" fillId="0" borderId="105" xfId="1061" applyFont="1" applyBorder="1" applyAlignment="1">
      <alignment horizontal="center" vertical="center" wrapText="1"/>
    </xf>
    <xf numFmtId="0" fontId="284" fillId="0" borderId="108" xfId="1061" applyFont="1" applyBorder="1" applyAlignment="1">
      <alignment horizontal="center" vertical="center" wrapText="1"/>
    </xf>
    <xf numFmtId="0" fontId="283" fillId="0" borderId="2" xfId="1061" applyFont="1" applyFill="1" applyBorder="1" applyAlignment="1">
      <alignment horizontal="center" vertical="center"/>
    </xf>
    <xf numFmtId="0" fontId="289" fillId="0" borderId="0" xfId="1061" applyFont="1" applyAlignment="1">
      <alignment horizontal="right"/>
    </xf>
    <xf numFmtId="0" fontId="283" fillId="0" borderId="0" xfId="1061" applyFont="1" applyBorder="1" applyAlignment="1">
      <alignment horizontal="center" vertical="center"/>
    </xf>
    <xf numFmtId="0" fontId="27" fillId="0" borderId="2" xfId="1061" applyFont="1" applyBorder="1" applyAlignment="1">
      <alignment horizontal="center" vertical="center" wrapText="1"/>
    </xf>
    <xf numFmtId="0" fontId="27" fillId="0" borderId="2" xfId="1061" applyFont="1" applyBorder="1" applyAlignment="1">
      <alignment horizontal="center" vertical="top" wrapText="1"/>
    </xf>
    <xf numFmtId="0" fontId="272" fillId="0" borderId="0" xfId="1100" applyFont="1" applyAlignment="1">
      <alignment horizontal="center"/>
    </xf>
    <xf numFmtId="0" fontId="277" fillId="0" borderId="0" xfId="1100" applyFont="1" applyAlignment="1">
      <alignment horizontal="right"/>
    </xf>
    <xf numFmtId="0" fontId="297" fillId="0" borderId="32" xfId="1100" applyFont="1" applyBorder="1" applyAlignment="1">
      <alignment horizontal="center" vertical="center" textRotation="90" wrapText="1"/>
    </xf>
    <xf numFmtId="0" fontId="297" fillId="0" borderId="5" xfId="1100" applyFont="1" applyBorder="1" applyAlignment="1">
      <alignment horizontal="center" vertical="center" textRotation="90" wrapText="1"/>
    </xf>
    <xf numFmtId="0" fontId="297" fillId="0" borderId="4" xfId="1100" applyFont="1" applyBorder="1" applyAlignment="1">
      <alignment horizontal="center" vertical="center" textRotation="90" wrapText="1"/>
    </xf>
    <xf numFmtId="0" fontId="297" fillId="0" borderId="1" xfId="1100" applyFont="1" applyBorder="1" applyAlignment="1">
      <alignment horizontal="center" vertical="center" textRotation="90"/>
    </xf>
    <xf numFmtId="0" fontId="297" fillId="0" borderId="11" xfId="1100" applyFont="1" applyBorder="1" applyAlignment="1">
      <alignment horizontal="center" vertical="center" textRotation="90"/>
    </xf>
    <xf numFmtId="0" fontId="297" fillId="0" borderId="2" xfId="1100" applyFont="1" applyBorder="1" applyAlignment="1">
      <alignment horizontal="center" vertical="center" textRotation="90"/>
    </xf>
    <xf numFmtId="0" fontId="297" fillId="0" borderId="3" xfId="1100" applyFont="1" applyBorder="1" applyAlignment="1">
      <alignment horizontal="center" vertical="center" textRotation="90"/>
    </xf>
    <xf numFmtId="0" fontId="297" fillId="0" borderId="2" xfId="1100" applyFont="1" applyBorder="1" applyAlignment="1">
      <alignment horizontal="center" vertical="center" textRotation="90" wrapText="1"/>
    </xf>
    <xf numFmtId="0" fontId="297" fillId="0" borderId="3" xfId="1100" applyFont="1" applyBorder="1" applyAlignment="1">
      <alignment horizontal="center" vertical="center" textRotation="90" wrapText="1"/>
    </xf>
    <xf numFmtId="0" fontId="297" fillId="0" borderId="1" xfId="1100" applyFont="1" applyBorder="1" applyAlignment="1">
      <alignment horizontal="center" vertical="center" wrapText="1"/>
    </xf>
    <xf numFmtId="0" fontId="297" fillId="0" borderId="2" xfId="1100" applyFont="1" applyBorder="1" applyAlignment="1">
      <alignment horizontal="center" vertical="center" wrapText="1"/>
    </xf>
    <xf numFmtId="0" fontId="297" fillId="0" borderId="5" xfId="1100" applyFont="1" applyBorder="1" applyAlignment="1">
      <alignment horizontal="center" vertical="center" wrapText="1"/>
    </xf>
    <xf numFmtId="0" fontId="297" fillId="0" borderId="59" xfId="1100" applyFont="1" applyBorder="1" applyAlignment="1">
      <alignment horizontal="center" vertical="center" textRotation="90"/>
    </xf>
    <xf numFmtId="0" fontId="297" fillId="0" borderId="42" xfId="1100" applyFont="1" applyBorder="1" applyAlignment="1">
      <alignment horizontal="center" vertical="center" textRotation="90"/>
    </xf>
    <xf numFmtId="0" fontId="297" fillId="0" borderId="70" xfId="1100" applyFont="1" applyBorder="1" applyAlignment="1">
      <alignment horizontal="center" vertical="center" textRotation="90"/>
    </xf>
    <xf numFmtId="0" fontId="297" fillId="0" borderId="17" xfId="1100" applyFont="1" applyBorder="1" applyAlignment="1">
      <alignment horizontal="center" vertical="center" textRotation="90"/>
    </xf>
    <xf numFmtId="0" fontId="297" fillId="0" borderId="17" xfId="1100" applyFont="1" applyBorder="1" applyAlignment="1">
      <alignment horizontal="center" vertical="center" textRotation="90" wrapText="1"/>
    </xf>
    <xf numFmtId="49" fontId="47" fillId="0" borderId="18" xfId="1023" applyNumberFormat="1" applyFont="1" applyFill="1" applyBorder="1" applyAlignment="1" applyProtection="1">
      <alignment horizontal="center" vertical="center" wrapText="1"/>
      <protection locked="0"/>
    </xf>
    <xf numFmtId="49" fontId="47" fillId="0" borderId="9" xfId="1023" applyNumberFormat="1" applyFont="1" applyFill="1" applyBorder="1" applyAlignment="1" applyProtection="1">
      <alignment horizontal="center" vertical="center" wrapText="1"/>
      <protection locked="0"/>
    </xf>
    <xf numFmtId="49" fontId="47" fillId="0" borderId="13" xfId="1023" applyNumberFormat="1" applyFont="1" applyFill="1" applyBorder="1" applyAlignment="1" applyProtection="1">
      <alignment horizontal="center" vertical="center" wrapText="1"/>
      <protection locked="0"/>
    </xf>
    <xf numFmtId="0" fontId="297" fillId="0" borderId="16" xfId="1100" applyFont="1" applyBorder="1" applyAlignment="1">
      <alignment horizontal="center" vertical="center"/>
    </xf>
    <xf numFmtId="0" fontId="297" fillId="0" borderId="17" xfId="1100" applyFont="1" applyBorder="1" applyAlignment="1">
      <alignment horizontal="center" vertical="center"/>
    </xf>
    <xf numFmtId="0" fontId="297" fillId="0" borderId="32" xfId="1100" applyFont="1" applyBorder="1" applyAlignment="1">
      <alignment horizontal="center" vertical="center"/>
    </xf>
    <xf numFmtId="0" fontId="301" fillId="0" borderId="0" xfId="1100" applyFont="1" applyAlignment="1">
      <alignment horizontal="center" vertical="center" wrapText="1"/>
    </xf>
    <xf numFmtId="0" fontId="272" fillId="0" borderId="0" xfId="1062" applyFont="1" applyAlignment="1">
      <alignment horizontal="center" vertical="center"/>
    </xf>
    <xf numFmtId="0" fontId="271" fillId="0" borderId="0" xfId="1062" applyFont="1" applyAlignment="1">
      <alignment horizontal="center"/>
    </xf>
    <xf numFmtId="49" fontId="47" fillId="0" borderId="190" xfId="1023" applyNumberFormat="1" applyFont="1" applyBorder="1" applyAlignment="1" applyProtection="1">
      <alignment horizontal="center" vertical="center" textRotation="90" wrapText="1"/>
      <protection locked="0"/>
    </xf>
    <xf numFmtId="49" fontId="47" fillId="0" borderId="1" xfId="1023" applyNumberFormat="1" applyFont="1" applyBorder="1" applyAlignment="1" applyProtection="1">
      <alignment horizontal="center" vertical="center" textRotation="90" wrapText="1"/>
      <protection locked="0"/>
    </xf>
    <xf numFmtId="49" fontId="47" fillId="0" borderId="164" xfId="1023" applyNumberFormat="1" applyFont="1" applyBorder="1" applyAlignment="1" applyProtection="1">
      <alignment horizontal="center" vertical="center" textRotation="90" wrapText="1"/>
      <protection locked="0"/>
    </xf>
    <xf numFmtId="49" fontId="47" fillId="0" borderId="2" xfId="1023" applyNumberFormat="1" applyFont="1" applyBorder="1" applyAlignment="1" applyProtection="1">
      <alignment horizontal="center" vertical="center" textRotation="90" wrapText="1"/>
      <protection locked="0"/>
    </xf>
    <xf numFmtId="245" fontId="47" fillId="0" borderId="164" xfId="1023" applyNumberFormat="1" applyFont="1" applyBorder="1" applyAlignment="1" applyProtection="1">
      <alignment horizontal="center" vertical="center" textRotation="90" wrapText="1"/>
      <protection locked="0"/>
    </xf>
    <xf numFmtId="245" fontId="47" fillId="0" borderId="2" xfId="1023" applyNumberFormat="1" applyFont="1" applyBorder="1" applyAlignment="1" applyProtection="1">
      <alignment horizontal="center" vertical="center" textRotation="90" wrapText="1"/>
      <protection locked="0"/>
    </xf>
    <xf numFmtId="49" fontId="47" fillId="0" borderId="165" xfId="1023" applyNumberFormat="1" applyFont="1" applyBorder="1" applyAlignment="1" applyProtection="1">
      <alignment horizontal="center" vertical="center" textRotation="90" wrapText="1"/>
      <protection locked="0"/>
    </xf>
    <xf numFmtId="49" fontId="47" fillId="0" borderId="92" xfId="1023" applyNumberFormat="1" applyFont="1" applyBorder="1" applyAlignment="1" applyProtection="1">
      <alignment horizontal="center" vertical="center" textRotation="90" wrapText="1"/>
      <protection locked="0"/>
    </xf>
    <xf numFmtId="245" fontId="47" fillId="0" borderId="0" xfId="1023" applyNumberFormat="1" applyFont="1" applyAlignment="1" applyProtection="1">
      <alignment horizontal="center" vertical="center"/>
      <protection locked="0"/>
    </xf>
    <xf numFmtId="0" fontId="37" fillId="0" borderId="0" xfId="1" applyFont="1" applyAlignment="1" applyProtection="1">
      <alignment horizontal="center" vertical="top" wrapText="1"/>
    </xf>
    <xf numFmtId="0" fontId="47" fillId="0" borderId="2" xfId="1023" applyFont="1" applyBorder="1" applyAlignment="1" applyProtection="1">
      <alignment horizontal="center" vertical="center" wrapText="1"/>
      <protection locked="0"/>
    </xf>
    <xf numFmtId="0" fontId="47" fillId="0" borderId="2" xfId="1023" applyFont="1" applyBorder="1" applyAlignment="1" applyProtection="1">
      <alignment horizontal="center" vertical="center" textRotation="1" wrapText="1"/>
      <protection locked="0"/>
    </xf>
    <xf numFmtId="49" fontId="47" fillId="0" borderId="182" xfId="1023" applyNumberFormat="1" applyFont="1" applyBorder="1" applyAlignment="1" applyProtection="1">
      <alignment horizontal="center" vertical="center" wrapText="1"/>
      <protection locked="0"/>
    </xf>
    <xf numFmtId="49" fontId="47" fillId="0" borderId="184" xfId="1023" applyNumberFormat="1" applyFont="1" applyBorder="1" applyAlignment="1" applyProtection="1">
      <alignment horizontal="center" vertical="center" wrapText="1"/>
      <protection locked="0"/>
    </xf>
    <xf numFmtId="49" fontId="47" fillId="0" borderId="112" xfId="1023" applyNumberFormat="1" applyFont="1" applyBorder="1" applyAlignment="1" applyProtection="1">
      <alignment horizontal="center" vertical="center" wrapText="1"/>
      <protection locked="0"/>
    </xf>
    <xf numFmtId="49" fontId="47" fillId="0" borderId="190" xfId="1023" applyNumberFormat="1" applyFont="1" applyBorder="1" applyAlignment="1" applyProtection="1">
      <alignment horizontal="center" vertical="center" wrapText="1"/>
      <protection locked="0"/>
    </xf>
    <xf numFmtId="49" fontId="47" fillId="0" borderId="164" xfId="1023" applyNumberFormat="1" applyFont="1" applyBorder="1" applyAlignment="1" applyProtection="1">
      <alignment horizontal="center" vertical="center" wrapText="1"/>
      <protection locked="0"/>
    </xf>
    <xf numFmtId="49" fontId="47" fillId="0" borderId="104" xfId="1023" applyNumberFormat="1" applyFont="1" applyBorder="1" applyAlignment="1" applyProtection="1">
      <alignment horizontal="center" vertical="center" wrapText="1"/>
      <protection locked="0"/>
    </xf>
    <xf numFmtId="49" fontId="47" fillId="0" borderId="190" xfId="1023" applyNumberFormat="1" applyFont="1" applyBorder="1" applyAlignment="1" applyProtection="1">
      <alignment horizontal="center" vertical="center"/>
      <protection locked="0"/>
    </xf>
    <xf numFmtId="49" fontId="47" fillId="0" borderId="164" xfId="1023" applyNumberFormat="1" applyFont="1" applyBorder="1" applyAlignment="1" applyProtection="1">
      <alignment horizontal="center" vertical="center"/>
      <protection locked="0"/>
    </xf>
    <xf numFmtId="49" fontId="47" fillId="0" borderId="104" xfId="1023" applyNumberFormat="1" applyFont="1" applyBorder="1" applyAlignment="1" applyProtection="1">
      <alignment horizontal="center" vertical="center"/>
      <protection locked="0"/>
    </xf>
    <xf numFmtId="49" fontId="47" fillId="0" borderId="1" xfId="1023" applyNumberFormat="1" applyFont="1" applyBorder="1" applyAlignment="1" applyProtection="1">
      <alignment horizontal="center" vertical="center" wrapText="1"/>
      <protection locked="0"/>
    </xf>
    <xf numFmtId="168" fontId="47" fillId="0" borderId="2" xfId="1023" applyNumberFormat="1" applyFont="1" applyBorder="1" applyAlignment="1" applyProtection="1">
      <alignment horizontal="center" vertical="center" wrapText="1"/>
      <protection locked="0"/>
    </xf>
    <xf numFmtId="49" fontId="47" fillId="0" borderId="5" xfId="1023" applyNumberFormat="1" applyFont="1" applyBorder="1" applyAlignment="1" applyProtection="1">
      <alignment horizontal="center" vertical="center" textRotation="90" wrapText="1"/>
      <protection locked="0"/>
    </xf>
    <xf numFmtId="49" fontId="47" fillId="0" borderId="5" xfId="3" applyNumberFormat="1" applyFont="1" applyBorder="1" applyAlignment="1" applyProtection="1">
      <alignment horizontal="center" vertical="center" textRotation="90"/>
      <protection locked="0"/>
    </xf>
    <xf numFmtId="49" fontId="47" fillId="0" borderId="164" xfId="3" applyNumberFormat="1" applyFont="1" applyBorder="1" applyAlignment="1" applyProtection="1">
      <alignment horizontal="center" vertical="center"/>
      <protection locked="0"/>
    </xf>
    <xf numFmtId="49" fontId="47" fillId="0" borderId="104" xfId="3" applyNumberFormat="1" applyFont="1" applyBorder="1" applyAlignment="1" applyProtection="1">
      <alignment horizontal="center" vertical="center"/>
      <protection locked="0"/>
    </xf>
    <xf numFmtId="49" fontId="47" fillId="0" borderId="191" xfId="1023" applyNumberFormat="1" applyFont="1" applyBorder="1" applyAlignment="1" applyProtection="1">
      <alignment horizontal="center" vertical="center" wrapText="1"/>
      <protection locked="0"/>
    </xf>
    <xf numFmtId="49" fontId="47" fillId="0" borderId="10" xfId="1023" applyNumberFormat="1" applyFont="1" applyBorder="1" applyAlignment="1" applyProtection="1">
      <alignment horizontal="center" vertical="center" wrapText="1"/>
      <protection locked="0"/>
    </xf>
    <xf numFmtId="49" fontId="47" fillId="0" borderId="42" xfId="3" applyNumberFormat="1" applyFont="1" applyBorder="1" applyAlignment="1" applyProtection="1">
      <alignment horizontal="center" vertical="center"/>
      <protection locked="0"/>
    </xf>
    <xf numFmtId="168" fontId="47" fillId="0" borderId="2" xfId="3" applyNumberFormat="1" applyFont="1" applyBorder="1" applyAlignment="1" applyProtection="1">
      <alignment horizontal="center" vertical="center"/>
      <protection locked="0"/>
    </xf>
    <xf numFmtId="49" fontId="47" fillId="0" borderId="2" xfId="3" applyNumberFormat="1" applyFont="1" applyBorder="1" applyAlignment="1" applyProtection="1">
      <alignment horizontal="center" vertical="center" textRotation="90"/>
      <protection locked="0"/>
    </xf>
    <xf numFmtId="49" fontId="47" fillId="0" borderId="8" xfId="1023" applyNumberFormat="1" applyFont="1" applyBorder="1" applyAlignment="1" applyProtection="1">
      <alignment horizontal="center" vertical="center" textRotation="90" wrapText="1"/>
      <protection locked="0"/>
    </xf>
    <xf numFmtId="49" fontId="47" fillId="0" borderId="8" xfId="3" applyNumberFormat="1" applyFont="1" applyBorder="1" applyAlignment="1" applyProtection="1">
      <alignment horizontal="center" vertical="center" textRotation="90"/>
      <protection locked="0"/>
    </xf>
    <xf numFmtId="49" fontId="47" fillId="0" borderId="42" xfId="1023" applyNumberFormat="1" applyFont="1" applyBorder="1" applyAlignment="1" applyProtection="1">
      <alignment horizontal="center" vertical="center" wrapText="1"/>
      <protection locked="0"/>
    </xf>
    <xf numFmtId="49" fontId="47" fillId="0" borderId="2" xfId="1023" applyNumberFormat="1" applyFont="1" applyBorder="1" applyAlignment="1" applyProtection="1">
      <alignment horizontal="center" vertical="center" wrapText="1"/>
      <protection locked="0"/>
    </xf>
    <xf numFmtId="49" fontId="47" fillId="0" borderId="8" xfId="1023" applyNumberFormat="1" applyFont="1" applyBorder="1" applyAlignment="1" applyProtection="1">
      <alignment horizontal="center" vertical="center" wrapText="1"/>
      <protection locked="0"/>
    </xf>
    <xf numFmtId="49" fontId="47" fillId="0" borderId="2" xfId="1024" applyNumberFormat="1" applyFont="1" applyBorder="1" applyAlignment="1" applyProtection="1">
      <alignment horizontal="center" vertical="center" wrapText="1"/>
      <protection locked="0"/>
    </xf>
    <xf numFmtId="3" fontId="47" fillId="0" borderId="0" xfId="1023" applyNumberFormat="1" applyFont="1" applyAlignment="1" applyProtection="1">
      <alignment horizontal="center" vertical="center"/>
      <protection locked="0"/>
    </xf>
    <xf numFmtId="49" fontId="47" fillId="0" borderId="188" xfId="1023" applyNumberFormat="1" applyFont="1" applyBorder="1" applyAlignment="1" applyProtection="1">
      <alignment horizontal="center" vertical="center" textRotation="90" wrapText="1"/>
      <protection locked="0"/>
    </xf>
    <xf numFmtId="49" fontId="47" fillId="0" borderId="185" xfId="1023" applyNumberFormat="1" applyFont="1" applyBorder="1" applyAlignment="1" applyProtection="1">
      <alignment horizontal="center" vertical="center" textRotation="90" wrapText="1"/>
      <protection locked="0"/>
    </xf>
    <xf numFmtId="49" fontId="47" fillId="0" borderId="113" xfId="1023" applyNumberFormat="1" applyFont="1" applyBorder="1" applyAlignment="1" applyProtection="1">
      <alignment horizontal="center" vertical="center" textRotation="90" wrapText="1"/>
      <protection locked="0"/>
    </xf>
    <xf numFmtId="49" fontId="47" fillId="0" borderId="26" xfId="1023" applyNumberFormat="1" applyFont="1" applyBorder="1" applyAlignment="1" applyProtection="1">
      <alignment horizontal="center" vertical="center" textRotation="90" wrapText="1"/>
      <protection locked="0"/>
    </xf>
    <xf numFmtId="49" fontId="47" fillId="0" borderId="31" xfId="1023" applyNumberFormat="1" applyFont="1" applyBorder="1" applyAlignment="1" applyProtection="1">
      <alignment horizontal="center" vertical="center" textRotation="90" wrapText="1"/>
      <protection locked="0"/>
    </xf>
    <xf numFmtId="49" fontId="47" fillId="0" borderId="183" xfId="1023" applyNumberFormat="1" applyFont="1" applyBorder="1" applyAlignment="1" applyProtection="1">
      <alignment horizontal="center" vertical="center" wrapText="1"/>
      <protection locked="0"/>
    </xf>
    <xf numFmtId="49" fontId="47" fillId="0" borderId="173" xfId="1023" applyNumberFormat="1" applyFont="1" applyBorder="1" applyAlignment="1" applyProtection="1">
      <alignment horizontal="center" vertical="center" wrapText="1"/>
      <protection locked="0"/>
    </xf>
    <xf numFmtId="49" fontId="47" fillId="0" borderId="167" xfId="1023" applyNumberFormat="1" applyFont="1" applyBorder="1" applyAlignment="1" applyProtection="1">
      <alignment horizontal="center" vertical="center" wrapText="1"/>
      <protection locked="0"/>
    </xf>
    <xf numFmtId="49" fontId="47" fillId="0" borderId="106" xfId="1023" applyNumberFormat="1" applyFont="1" applyBorder="1" applyAlignment="1" applyProtection="1">
      <alignment horizontal="center" vertical="center" wrapText="1"/>
      <protection locked="0"/>
    </xf>
    <xf numFmtId="49" fontId="47" fillId="0" borderId="105" xfId="1023" applyNumberFormat="1" applyFont="1" applyBorder="1" applyAlignment="1" applyProtection="1">
      <alignment horizontal="center" vertical="center" wrapText="1"/>
      <protection locked="0"/>
    </xf>
    <xf numFmtId="49" fontId="47" fillId="0" borderId="107" xfId="1023" applyNumberFormat="1" applyFont="1" applyBorder="1" applyAlignment="1" applyProtection="1">
      <alignment horizontal="center" vertical="center" wrapText="1"/>
      <protection locked="0"/>
    </xf>
    <xf numFmtId="49" fontId="47" fillId="0" borderId="106" xfId="1023" applyNumberFormat="1" applyFont="1" applyBorder="1" applyAlignment="1" applyProtection="1">
      <alignment horizontal="center" vertical="center"/>
      <protection locked="0"/>
    </xf>
    <xf numFmtId="49" fontId="47" fillId="0" borderId="105" xfId="1023" applyNumberFormat="1" applyFont="1" applyBorder="1" applyAlignment="1" applyProtection="1">
      <alignment horizontal="center" vertical="center"/>
      <protection locked="0"/>
    </xf>
    <xf numFmtId="49" fontId="47" fillId="0" borderId="107" xfId="1023" applyNumberFormat="1" applyFont="1" applyBorder="1" applyAlignment="1" applyProtection="1">
      <alignment horizontal="center" vertical="center"/>
      <protection locked="0"/>
    </xf>
    <xf numFmtId="49" fontId="47" fillId="0" borderId="186" xfId="1023" applyNumberFormat="1" applyFont="1" applyBorder="1" applyAlignment="1" applyProtection="1">
      <alignment horizontal="center" vertical="center" textRotation="90" wrapText="1"/>
      <protection locked="0"/>
    </xf>
    <xf numFmtId="49" fontId="47" fillId="0" borderId="46" xfId="1023" applyNumberFormat="1" applyFont="1" applyBorder="1" applyAlignment="1" applyProtection="1">
      <alignment horizontal="center" vertical="center" textRotation="90" wrapText="1"/>
      <protection locked="0"/>
    </xf>
    <xf numFmtId="49" fontId="47" fillId="0" borderId="30" xfId="1023" applyNumberFormat="1" applyFont="1" applyBorder="1" applyAlignment="1" applyProtection="1">
      <alignment horizontal="center" vertical="center" textRotation="90" wrapText="1"/>
      <protection locked="0"/>
    </xf>
    <xf numFmtId="49" fontId="47" fillId="0" borderId="187" xfId="1023" applyNumberFormat="1" applyFont="1" applyBorder="1" applyAlignment="1" applyProtection="1">
      <alignment horizontal="center" vertical="center" textRotation="90" wrapText="1"/>
      <protection locked="0"/>
    </xf>
    <xf numFmtId="49" fontId="47" fillId="0" borderId="47" xfId="1023" applyNumberFormat="1" applyFont="1" applyBorder="1" applyAlignment="1" applyProtection="1">
      <alignment horizontal="center" vertical="center" textRotation="90" wrapText="1"/>
      <protection locked="0"/>
    </xf>
    <xf numFmtId="49" fontId="47" fillId="0" borderId="33" xfId="1023" applyNumberFormat="1" applyFont="1" applyBorder="1" applyAlignment="1" applyProtection="1">
      <alignment horizontal="center" vertical="center" textRotation="90" wrapText="1"/>
      <protection locked="0"/>
    </xf>
    <xf numFmtId="245" fontId="47" fillId="0" borderId="187" xfId="1023" applyNumberFormat="1" applyFont="1" applyBorder="1" applyAlignment="1" applyProtection="1">
      <alignment horizontal="center" vertical="center" textRotation="90" wrapText="1"/>
      <protection locked="0"/>
    </xf>
    <xf numFmtId="245" fontId="47" fillId="0" borderId="47" xfId="1023" applyNumberFormat="1" applyFont="1" applyBorder="1" applyAlignment="1" applyProtection="1">
      <alignment horizontal="center" vertical="center" textRotation="90" wrapText="1"/>
      <protection locked="0"/>
    </xf>
    <xf numFmtId="245" fontId="47" fillId="0" borderId="33" xfId="1023" applyNumberFormat="1" applyFont="1" applyBorder="1" applyAlignment="1" applyProtection="1">
      <alignment horizontal="center" vertical="center" textRotation="90" wrapText="1"/>
      <protection locked="0"/>
    </xf>
    <xf numFmtId="49" fontId="47" fillId="0" borderId="37" xfId="1023" applyNumberFormat="1" applyFont="1" applyBorder="1" applyAlignment="1" applyProtection="1">
      <alignment horizontal="center" vertical="center" wrapText="1"/>
      <protection locked="0"/>
    </xf>
    <xf numFmtId="49" fontId="47" fillId="0" borderId="8" xfId="1024" applyNumberFormat="1" applyFont="1" applyBorder="1" applyAlignment="1" applyProtection="1">
      <alignment horizontal="center" vertical="center" wrapText="1"/>
      <protection locked="0"/>
    </xf>
    <xf numFmtId="49" fontId="47" fillId="0" borderId="42" xfId="1024" applyNumberFormat="1" applyFont="1" applyBorder="1" applyAlignment="1" applyProtection="1">
      <alignment horizontal="center" vertical="center" wrapText="1"/>
      <protection locked="0"/>
    </xf>
    <xf numFmtId="49" fontId="47" fillId="0" borderId="43" xfId="1023" applyNumberFormat="1" applyFont="1" applyBorder="1" applyAlignment="1" applyProtection="1">
      <alignment horizontal="center" vertical="center" wrapText="1"/>
      <protection locked="0"/>
    </xf>
    <xf numFmtId="49" fontId="47" fillId="0" borderId="24" xfId="1023" applyNumberFormat="1" applyFont="1" applyBorder="1" applyAlignment="1" applyProtection="1">
      <alignment horizontal="center" vertical="center" wrapText="1"/>
      <protection locked="0"/>
    </xf>
    <xf numFmtId="49" fontId="47" fillId="0" borderId="30" xfId="1023" applyNumberFormat="1" applyFont="1" applyBorder="1" applyAlignment="1" applyProtection="1">
      <alignment horizontal="center" vertical="center" wrapText="1"/>
      <protection locked="0"/>
    </xf>
    <xf numFmtId="168" fontId="47" fillId="0" borderId="25" xfId="1023" applyNumberFormat="1" applyFont="1" applyBorder="1" applyAlignment="1" applyProtection="1">
      <alignment horizontal="center" vertical="center" wrapText="1"/>
      <protection locked="0"/>
    </xf>
    <xf numFmtId="168" fontId="47" fillId="0" borderId="33" xfId="1023" applyNumberFormat="1" applyFont="1" applyBorder="1" applyAlignment="1" applyProtection="1">
      <alignment horizontal="center" vertical="center" wrapText="1"/>
      <protection locked="0"/>
    </xf>
    <xf numFmtId="49" fontId="47" fillId="0" borderId="25" xfId="1023" applyNumberFormat="1" applyFont="1" applyBorder="1" applyAlignment="1" applyProtection="1">
      <alignment horizontal="center" vertical="center" textRotation="90" wrapText="1"/>
      <protection locked="0"/>
    </xf>
    <xf numFmtId="0" fontId="100" fillId="0" borderId="15" xfId="1023" applyFont="1" applyFill="1" applyBorder="1" applyAlignment="1" applyProtection="1">
      <alignment horizontal="center" vertical="center" wrapText="1"/>
      <protection hidden="1"/>
    </xf>
    <xf numFmtId="0" fontId="100" fillId="0" borderId="59" xfId="1023" applyFont="1" applyFill="1" applyBorder="1" applyAlignment="1" applyProtection="1">
      <alignment horizontal="center" vertical="center" wrapText="1"/>
      <protection hidden="1"/>
    </xf>
    <xf numFmtId="0" fontId="100" fillId="0" borderId="28" xfId="1023" applyFont="1" applyFill="1" applyBorder="1" applyAlignment="1" applyProtection="1">
      <alignment horizontal="center" vertical="center" wrapText="1"/>
      <protection hidden="1"/>
    </xf>
    <xf numFmtId="0" fontId="265" fillId="0" borderId="0" xfId="1023" applyFont="1" applyAlignment="1" applyProtection="1">
      <alignment horizontal="center"/>
      <protection hidden="1"/>
    </xf>
    <xf numFmtId="0" fontId="265" fillId="0" borderId="0" xfId="1023" applyFont="1" applyBorder="1" applyAlignment="1" applyProtection="1">
      <alignment horizontal="center"/>
      <protection hidden="1"/>
    </xf>
    <xf numFmtId="0" fontId="265" fillId="0" borderId="54" xfId="1023" applyFont="1" applyBorder="1" applyAlignment="1" applyProtection="1">
      <alignment horizontal="center"/>
      <protection hidden="1"/>
    </xf>
    <xf numFmtId="0" fontId="100" fillId="0" borderId="10" xfId="1023" applyFont="1" applyFill="1" applyBorder="1" applyAlignment="1" applyProtection="1">
      <alignment horizontal="center" vertical="center" wrapText="1"/>
      <protection hidden="1"/>
    </xf>
    <xf numFmtId="0" fontId="100" fillId="0" borderId="18" xfId="1023" applyFont="1" applyFill="1" applyBorder="1" applyAlignment="1" applyProtection="1">
      <alignment horizontal="center" vertical="center" textRotation="90" wrapText="1"/>
      <protection hidden="1"/>
    </xf>
    <xf numFmtId="0" fontId="100" fillId="0" borderId="9" xfId="1023" applyFont="1" applyFill="1" applyBorder="1" applyAlignment="1" applyProtection="1">
      <alignment horizontal="center" vertical="center" textRotation="90" wrapText="1"/>
      <protection hidden="1"/>
    </xf>
    <xf numFmtId="0" fontId="100" fillId="0" borderId="17" xfId="1023" applyFont="1" applyFill="1" applyBorder="1" applyAlignment="1" applyProtection="1">
      <alignment horizontal="center" vertical="center" wrapText="1"/>
      <protection hidden="1"/>
    </xf>
    <xf numFmtId="0" fontId="100" fillId="0" borderId="42" xfId="1023" applyFont="1" applyFill="1" applyBorder="1" applyAlignment="1" applyProtection="1">
      <alignment horizontal="center" vertical="center" wrapText="1"/>
      <protection hidden="1"/>
    </xf>
    <xf numFmtId="0" fontId="100" fillId="0" borderId="2" xfId="1023" applyFont="1" applyFill="1" applyBorder="1" applyAlignment="1" applyProtection="1">
      <alignment horizontal="center" vertical="center" wrapText="1"/>
      <protection hidden="1"/>
    </xf>
    <xf numFmtId="168" fontId="100" fillId="0" borderId="18" xfId="1023" applyNumberFormat="1" applyFont="1" applyFill="1" applyBorder="1" applyAlignment="1" applyProtection="1">
      <alignment horizontal="center" vertical="center" wrapText="1"/>
      <protection hidden="1"/>
    </xf>
    <xf numFmtId="168" fontId="100" fillId="0" borderId="9" xfId="1023" applyNumberFormat="1" applyFont="1" applyFill="1" applyBorder="1" applyAlignment="1" applyProtection="1">
      <alignment horizontal="center" vertical="center" wrapText="1"/>
      <protection hidden="1"/>
    </xf>
    <xf numFmtId="0" fontId="151" fillId="0" borderId="60" xfId="1023" applyFont="1" applyFill="1" applyBorder="1" applyAlignment="1" applyProtection="1">
      <alignment horizontal="center"/>
      <protection hidden="1"/>
    </xf>
    <xf numFmtId="0" fontId="151" fillId="0" borderId="28" xfId="1023" applyFont="1" applyFill="1" applyBorder="1" applyAlignment="1" applyProtection="1">
      <alignment horizontal="center"/>
      <protection hidden="1"/>
    </xf>
    <xf numFmtId="0" fontId="100" fillId="0" borderId="18" xfId="1023" applyFont="1" applyFill="1" applyBorder="1" applyAlignment="1" applyProtection="1">
      <alignment horizontal="center" vertical="center" wrapText="1"/>
      <protection hidden="1"/>
    </xf>
    <xf numFmtId="0" fontId="100" fillId="0" borderId="9" xfId="1023" applyFont="1" applyFill="1" applyBorder="1" applyAlignment="1" applyProtection="1">
      <alignment horizontal="center" vertical="center" wrapText="1"/>
      <protection hidden="1"/>
    </xf>
    <xf numFmtId="0" fontId="100" fillId="0" borderId="59" xfId="1023" applyFont="1" applyFill="1" applyBorder="1" applyAlignment="1" applyProtection="1">
      <alignment horizontal="center" vertical="center" textRotation="90" wrapText="1"/>
      <protection hidden="1"/>
    </xf>
    <xf numFmtId="0" fontId="100" fillId="0" borderId="42" xfId="1023" applyFont="1" applyFill="1" applyBorder="1" applyAlignment="1" applyProtection="1">
      <alignment horizontal="center" vertical="center" textRotation="90" wrapText="1"/>
      <protection hidden="1"/>
    </xf>
    <xf numFmtId="0" fontId="100" fillId="0" borderId="60" xfId="1023" applyFont="1" applyFill="1" applyBorder="1" applyAlignment="1" applyProtection="1">
      <alignment horizontal="center" vertical="center" wrapText="1"/>
      <protection hidden="1"/>
    </xf>
    <xf numFmtId="0" fontId="100" fillId="0" borderId="8" xfId="1023" applyFont="1" applyFill="1" applyBorder="1" applyAlignment="1" applyProtection="1">
      <alignment horizontal="center" vertical="center" wrapText="1"/>
      <protection hidden="1"/>
    </xf>
    <xf numFmtId="0" fontId="100" fillId="0" borderId="101" xfId="1023" applyFont="1" applyFill="1" applyBorder="1" applyAlignment="1" applyProtection="1">
      <alignment horizontal="center" vertical="center" wrapText="1"/>
      <protection hidden="1"/>
    </xf>
    <xf numFmtId="0" fontId="100" fillId="0" borderId="27" xfId="1023" applyFont="1" applyFill="1" applyBorder="1" applyAlignment="1" applyProtection="1">
      <alignment horizontal="center" vertical="center" textRotation="90" wrapText="1"/>
      <protection hidden="1"/>
    </xf>
    <xf numFmtId="0" fontId="151" fillId="0" borderId="41" xfId="1023" applyFont="1" applyFill="1" applyBorder="1" applyAlignment="1" applyProtection="1">
      <alignment horizontal="center"/>
      <protection hidden="1"/>
    </xf>
    <xf numFmtId="0" fontId="151" fillId="0" borderId="54" xfId="1023" applyFont="1" applyFill="1" applyBorder="1" applyAlignment="1" applyProtection="1">
      <alignment horizontal="center"/>
      <protection hidden="1"/>
    </xf>
    <xf numFmtId="0" fontId="151" fillId="0" borderId="250" xfId="1023" applyFont="1" applyFill="1" applyBorder="1" applyAlignment="1" applyProtection="1">
      <alignment horizontal="center"/>
      <protection hidden="1"/>
    </xf>
    <xf numFmtId="0" fontId="151" fillId="0" borderId="100" xfId="1023" applyFont="1" applyFill="1" applyBorder="1" applyAlignment="1" applyProtection="1">
      <alignment horizontal="center"/>
      <protection hidden="1"/>
    </xf>
    <xf numFmtId="168" fontId="100" fillId="0" borderId="43" xfId="1023" applyNumberFormat="1" applyFont="1" applyFill="1" applyBorder="1" applyAlignment="1" applyProtection="1">
      <alignment horizontal="center" vertical="center" wrapText="1"/>
      <protection hidden="1"/>
    </xf>
    <xf numFmtId="168" fontId="100" fillId="0" borderId="27" xfId="1023" applyNumberFormat="1" applyFont="1" applyFill="1" applyBorder="1" applyAlignment="1" applyProtection="1">
      <alignment horizontal="center" vertical="center" wrapText="1"/>
      <protection hidden="1"/>
    </xf>
    <xf numFmtId="0" fontId="281" fillId="0" borderId="0" xfId="1" applyFont="1" applyAlignment="1" applyProtection="1">
      <alignment horizontal="center" vertical="top" wrapText="1"/>
    </xf>
    <xf numFmtId="168" fontId="100" fillId="0" borderId="165" xfId="1023" applyNumberFormat="1" applyFont="1" applyBorder="1" applyAlignment="1" applyProtection="1">
      <alignment horizontal="center" vertical="center" wrapText="1"/>
      <protection hidden="1"/>
    </xf>
    <xf numFmtId="168" fontId="100" fillId="0" borderId="92" xfId="1023" applyNumberFormat="1" applyFont="1" applyBorder="1" applyAlignment="1" applyProtection="1">
      <alignment horizontal="center" vertical="center" wrapText="1"/>
      <protection hidden="1"/>
    </xf>
    <xf numFmtId="0" fontId="100" fillId="9" borderId="16" xfId="1023" applyFont="1" applyFill="1" applyBorder="1" applyAlignment="1" applyProtection="1">
      <alignment horizontal="center" vertical="center" wrapText="1"/>
      <protection hidden="1"/>
    </xf>
    <xf numFmtId="0" fontId="100" fillId="9" borderId="17" xfId="1023" applyFont="1" applyFill="1" applyBorder="1" applyAlignment="1" applyProtection="1">
      <alignment horizontal="center" vertical="center" wrapText="1"/>
      <protection hidden="1"/>
    </xf>
    <xf numFmtId="0" fontId="100" fillId="9" borderId="32" xfId="1023" applyFont="1" applyFill="1" applyBorder="1" applyAlignment="1" applyProtection="1">
      <alignment horizontal="center" vertical="center" wrapText="1"/>
      <protection hidden="1"/>
    </xf>
    <xf numFmtId="0" fontId="100" fillId="9" borderId="60" xfId="1023" applyFont="1" applyFill="1" applyBorder="1" applyAlignment="1" applyProtection="1">
      <alignment horizontal="center" vertical="center" wrapText="1"/>
      <protection hidden="1"/>
    </xf>
    <xf numFmtId="0" fontId="100" fillId="0" borderId="175" xfId="1023" applyFont="1" applyBorder="1" applyAlignment="1" applyProtection="1">
      <alignment horizontal="center" vertical="center" wrapText="1"/>
      <protection hidden="1"/>
    </xf>
    <xf numFmtId="0" fontId="100" fillId="0" borderId="142" xfId="1023" applyFont="1" applyBorder="1" applyAlignment="1" applyProtection="1">
      <alignment horizontal="center" vertical="center" wrapText="1"/>
      <protection hidden="1"/>
    </xf>
    <xf numFmtId="0" fontId="100" fillId="0" borderId="192" xfId="1023" applyFont="1" applyBorder="1" applyAlignment="1" applyProtection="1">
      <alignment horizontal="center" vertical="center" textRotation="90" wrapText="1"/>
      <protection hidden="1"/>
    </xf>
    <xf numFmtId="0" fontId="100" fillId="0" borderId="9" xfId="1023" applyFont="1" applyBorder="1" applyAlignment="1" applyProtection="1">
      <alignment horizontal="center" vertical="center" textRotation="90" wrapText="1"/>
      <protection hidden="1"/>
    </xf>
    <xf numFmtId="0" fontId="100" fillId="0" borderId="193" xfId="1023" applyFont="1" applyBorder="1" applyAlignment="1" applyProtection="1">
      <alignment horizontal="center" vertical="center" wrapText="1"/>
      <protection hidden="1"/>
    </xf>
    <xf numFmtId="0" fontId="100" fillId="0" borderId="164" xfId="1023" applyFont="1" applyBorder="1" applyAlignment="1" applyProtection="1">
      <alignment horizontal="center" vertical="center" wrapText="1"/>
      <protection hidden="1"/>
    </xf>
    <xf numFmtId="0" fontId="100" fillId="0" borderId="42" xfId="1023" applyFont="1" applyBorder="1" applyAlignment="1" applyProtection="1">
      <alignment horizontal="center" vertical="center" wrapText="1"/>
      <protection hidden="1"/>
    </xf>
    <xf numFmtId="0" fontId="100" fillId="0" borderId="8" xfId="1023" applyFont="1" applyBorder="1" applyAlignment="1" applyProtection="1">
      <alignment horizontal="center" vertical="center" wrapText="1"/>
      <protection hidden="1"/>
    </xf>
    <xf numFmtId="0" fontId="151" fillId="0" borderId="187" xfId="1023" applyFont="1" applyBorder="1" applyAlignment="1" applyProtection="1">
      <alignment horizontal="center"/>
      <protection hidden="1"/>
    </xf>
    <xf numFmtId="0" fontId="151" fillId="0" borderId="194" xfId="1023" applyFont="1" applyBorder="1" applyAlignment="1" applyProtection="1">
      <alignment horizontal="center"/>
      <protection hidden="1"/>
    </xf>
    <xf numFmtId="0" fontId="100" fillId="0" borderId="190" xfId="1023" applyFont="1" applyBorder="1" applyAlignment="1" applyProtection="1">
      <alignment horizontal="center" vertical="center" textRotation="90" wrapText="1"/>
      <protection hidden="1"/>
    </xf>
    <xf numFmtId="0" fontId="100" fillId="0" borderId="1" xfId="1023" applyFont="1" applyBorder="1" applyAlignment="1" applyProtection="1">
      <alignment horizontal="center" vertical="center" textRotation="90" wrapText="1"/>
      <protection hidden="1"/>
    </xf>
    <xf numFmtId="0" fontId="100" fillId="9" borderId="15" xfId="1023" applyFont="1" applyFill="1" applyBorder="1" applyAlignment="1" applyProtection="1">
      <alignment horizontal="center" vertical="center" wrapText="1"/>
      <protection hidden="1"/>
    </xf>
    <xf numFmtId="0" fontId="100" fillId="9" borderId="28" xfId="1023" applyFont="1" applyFill="1" applyBorder="1" applyAlignment="1" applyProtection="1">
      <alignment horizontal="center" vertical="center" wrapText="1"/>
      <protection hidden="1"/>
    </xf>
    <xf numFmtId="0" fontId="100" fillId="9" borderId="29" xfId="1023" applyFont="1" applyFill="1" applyBorder="1" applyAlignment="1" applyProtection="1">
      <alignment horizontal="center" vertical="center" wrapText="1"/>
      <protection hidden="1"/>
    </xf>
    <xf numFmtId="0" fontId="282" fillId="0" borderId="0" xfId="1" applyFont="1" applyAlignment="1" applyProtection="1">
      <alignment horizontal="center" vertical="top" wrapText="1"/>
    </xf>
    <xf numFmtId="0" fontId="100" fillId="0" borderId="0" xfId="1023" applyFont="1" applyBorder="1" applyAlignment="1" applyProtection="1">
      <alignment horizontal="center"/>
      <protection hidden="1"/>
    </xf>
    <xf numFmtId="0" fontId="100" fillId="0" borderId="190" xfId="1023" applyFont="1" applyBorder="1" applyAlignment="1" applyProtection="1">
      <alignment horizontal="center" vertical="center" wrapText="1"/>
      <protection hidden="1"/>
    </xf>
    <xf numFmtId="0" fontId="100" fillId="0" borderId="104" xfId="1023" applyFont="1" applyBorder="1" applyAlignment="1" applyProtection="1">
      <alignment horizontal="center" vertical="center" wrapText="1"/>
      <protection hidden="1"/>
    </xf>
    <xf numFmtId="0" fontId="100" fillId="0" borderId="1" xfId="1023" applyFont="1" applyBorder="1" applyAlignment="1" applyProtection="1">
      <alignment horizontal="center" vertical="center" wrapText="1"/>
      <protection hidden="1"/>
    </xf>
    <xf numFmtId="0" fontId="151" fillId="0" borderId="186" xfId="1023" applyFont="1" applyBorder="1" applyAlignment="1" applyProtection="1">
      <alignment horizontal="center"/>
      <protection hidden="1"/>
    </xf>
    <xf numFmtId="0" fontId="151" fillId="0" borderId="281" xfId="1023" applyFont="1" applyBorder="1" applyAlignment="1" applyProtection="1">
      <alignment horizontal="center"/>
      <protection hidden="1"/>
    </xf>
    <xf numFmtId="0" fontId="100" fillId="0" borderId="106" xfId="1023" applyFont="1" applyBorder="1" applyAlignment="1" applyProtection="1">
      <alignment horizontal="center" vertical="center" textRotation="90" wrapText="1"/>
      <protection hidden="1"/>
    </xf>
    <xf numFmtId="0" fontId="100" fillId="0" borderId="10" xfId="1023" applyFont="1" applyBorder="1" applyAlignment="1" applyProtection="1">
      <alignment horizontal="center" vertical="center" textRotation="90" wrapText="1"/>
      <protection hidden="1"/>
    </xf>
    <xf numFmtId="168" fontId="100" fillId="0" borderId="251" xfId="1023" applyNumberFormat="1" applyFont="1" applyBorder="1" applyAlignment="1" applyProtection="1">
      <alignment horizontal="center" vertical="center" wrapText="1"/>
      <protection hidden="1"/>
    </xf>
    <xf numFmtId="168" fontId="100" fillId="0" borderId="143" xfId="1023" applyNumberFormat="1" applyFont="1" applyBorder="1" applyAlignment="1" applyProtection="1">
      <alignment horizontal="center" vertical="center" wrapText="1"/>
      <protection hidden="1"/>
    </xf>
    <xf numFmtId="0" fontId="3" fillId="4"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36" fillId="0" borderId="0" xfId="1" applyFont="1" applyAlignment="1" applyProtection="1">
      <alignment horizontal="center" vertical="top" wrapText="1"/>
    </xf>
    <xf numFmtId="0" fontId="2" fillId="0" borderId="2" xfId="0" applyFont="1" applyBorder="1" applyAlignment="1">
      <alignment horizontal="left" vertical="top" wrapText="1"/>
    </xf>
    <xf numFmtId="0" fontId="7" fillId="0" borderId="142" xfId="0" applyFont="1" applyBorder="1" applyAlignment="1">
      <alignment horizontal="left" vertical="top" wrapText="1"/>
    </xf>
    <xf numFmtId="0" fontId="7" fillId="0" borderId="43" xfId="0" applyFont="1" applyBorder="1" applyAlignment="1">
      <alignment horizontal="left" vertical="top" wrapText="1"/>
    </xf>
    <xf numFmtId="0" fontId="2" fillId="0" borderId="38" xfId="0" applyFont="1" applyBorder="1" applyAlignment="1">
      <alignment horizontal="left" vertical="top" wrapText="1"/>
    </xf>
    <xf numFmtId="0" fontId="2" fillId="0" borderId="50" xfId="0" applyFont="1" applyBorder="1" applyAlignment="1">
      <alignment horizontal="left" vertical="top" wrapText="1"/>
    </xf>
    <xf numFmtId="0" fontId="2" fillId="0" borderId="48" xfId="0" applyFont="1" applyBorder="1" applyAlignment="1">
      <alignment horizontal="left" vertical="top" wrapText="1"/>
    </xf>
    <xf numFmtId="0" fontId="2" fillId="0" borderId="52" xfId="0" applyFont="1" applyBorder="1" applyAlignment="1">
      <alignment horizontal="left" vertical="top" wrapText="1"/>
    </xf>
    <xf numFmtId="0" fontId="7" fillId="0" borderId="142" xfId="0" applyFont="1" applyFill="1" applyBorder="1" applyAlignment="1">
      <alignment horizontal="left" vertical="top" wrapText="1"/>
    </xf>
    <xf numFmtId="0" fontId="7" fillId="0" borderId="43" xfId="0" applyFont="1" applyFill="1" applyBorder="1" applyAlignment="1">
      <alignment horizontal="left" vertical="top" wrapText="1"/>
    </xf>
    <xf numFmtId="2" fontId="2" fillId="0" borderId="97" xfId="0" applyNumberFormat="1" applyFont="1" applyFill="1" applyBorder="1" applyAlignment="1">
      <alignment horizontal="center" vertical="top" wrapText="1"/>
    </xf>
    <xf numFmtId="2" fontId="2" fillId="0" borderId="53" xfId="0" applyNumberFormat="1" applyFont="1" applyFill="1" applyBorder="1" applyAlignment="1">
      <alignment horizontal="center" vertical="top" wrapText="1"/>
    </xf>
    <xf numFmtId="2" fontId="2" fillId="0" borderId="148" xfId="0" applyNumberFormat="1" applyFont="1" applyFill="1" applyBorder="1" applyAlignment="1">
      <alignment horizontal="center" vertical="top" wrapText="1"/>
    </xf>
    <xf numFmtId="2" fontId="2" fillId="0" borderId="51" xfId="0" applyNumberFormat="1" applyFont="1" applyFill="1" applyBorder="1" applyAlignment="1">
      <alignment horizontal="center" vertical="top" wrapText="1"/>
    </xf>
    <xf numFmtId="2" fontId="2" fillId="0" borderId="142" xfId="0" applyNumberFormat="1" applyFont="1" applyFill="1" applyBorder="1" applyAlignment="1">
      <alignment horizontal="left" vertical="top" wrapText="1"/>
    </xf>
    <xf numFmtId="2" fontId="2" fillId="0" borderId="43" xfId="0" applyNumberFormat="1" applyFont="1" applyFill="1" applyBorder="1" applyAlignment="1">
      <alignment horizontal="left" vertical="top" wrapText="1"/>
    </xf>
    <xf numFmtId="0" fontId="2" fillId="5" borderId="14" xfId="0" applyFont="1" applyFill="1" applyBorder="1" applyAlignment="1">
      <alignment horizontal="center" vertical="top" wrapText="1"/>
    </xf>
    <xf numFmtId="0" fontId="3" fillId="6" borderId="149" xfId="0" applyFont="1" applyFill="1" applyBorder="1" applyAlignment="1">
      <alignment horizontal="left" vertical="top" wrapText="1"/>
    </xf>
    <xf numFmtId="0" fontId="3" fillId="6" borderId="159" xfId="0" applyFont="1" applyFill="1" applyBorder="1" applyAlignment="1">
      <alignment horizontal="left" vertical="top" wrapText="1"/>
    </xf>
    <xf numFmtId="0" fontId="3" fillId="8" borderId="155" xfId="0" applyFont="1" applyFill="1" applyBorder="1" applyAlignment="1">
      <alignment horizontal="center" vertical="top" wrapText="1"/>
    </xf>
    <xf numFmtId="0" fontId="3" fillId="8" borderId="156" xfId="0" applyFont="1" applyFill="1" applyBorder="1" applyAlignment="1">
      <alignment horizontal="center" vertical="top" wrapText="1"/>
    </xf>
    <xf numFmtId="0" fontId="3" fillId="8" borderId="157" xfId="0" applyFont="1" applyFill="1" applyBorder="1" applyAlignment="1">
      <alignment horizontal="center" vertical="top" wrapText="1"/>
    </xf>
    <xf numFmtId="0" fontId="2" fillId="0" borderId="0" xfId="0" applyFont="1" applyBorder="1" applyAlignment="1">
      <alignment horizontal="right" vertical="top" wrapText="1"/>
    </xf>
    <xf numFmtId="0" fontId="4" fillId="7" borderId="138" xfId="0" applyFont="1" applyFill="1" applyBorder="1" applyAlignment="1">
      <alignment horizontal="center" vertical="top" wrapText="1"/>
    </xf>
    <xf numFmtId="0" fontId="4" fillId="7" borderId="54" xfId="0" applyFont="1" applyFill="1" applyBorder="1" applyAlignment="1">
      <alignment horizontal="center" vertical="top" wrapText="1"/>
    </xf>
    <xf numFmtId="0" fontId="4" fillId="7" borderId="139" xfId="0" applyFont="1" applyFill="1" applyBorder="1" applyAlignment="1">
      <alignment horizontal="center" vertical="top" wrapText="1"/>
    </xf>
    <xf numFmtId="3" fontId="4" fillId="7" borderId="138" xfId="0" applyNumberFormat="1" applyFont="1" applyFill="1" applyBorder="1" applyAlignment="1">
      <alignment horizontal="center" vertical="top" wrapText="1"/>
    </xf>
    <xf numFmtId="3" fontId="4" fillId="7" borderId="54" xfId="0" applyNumberFormat="1" applyFont="1" applyFill="1" applyBorder="1" applyAlignment="1">
      <alignment horizontal="center" vertical="top" wrapText="1"/>
    </xf>
    <xf numFmtId="3" fontId="4" fillId="7" borderId="139" xfId="0" applyNumberFormat="1" applyFont="1" applyFill="1" applyBorder="1" applyAlignment="1">
      <alignment horizontal="center" vertical="top" wrapText="1"/>
    </xf>
    <xf numFmtId="0" fontId="4" fillId="7" borderId="146" xfId="0" applyFont="1" applyFill="1" applyBorder="1" applyAlignment="1">
      <alignment horizontal="center" vertical="top" wrapText="1"/>
    </xf>
    <xf numFmtId="0" fontId="4" fillId="7" borderId="28" xfId="0" applyFont="1" applyFill="1" applyBorder="1" applyAlignment="1">
      <alignment horizontal="center" vertical="top" wrapText="1"/>
    </xf>
    <xf numFmtId="0" fontId="4" fillId="7" borderId="147" xfId="0" applyFont="1" applyFill="1" applyBorder="1" applyAlignment="1">
      <alignment horizontal="center" vertical="top" wrapText="1"/>
    </xf>
    <xf numFmtId="0" fontId="2" fillId="0" borderId="0" xfId="0" applyFont="1" applyBorder="1" applyAlignment="1">
      <alignment horizontal="right"/>
    </xf>
    <xf numFmtId="0" fontId="7" fillId="0" borderId="144" xfId="0" applyFont="1" applyBorder="1" applyAlignment="1">
      <alignment horizontal="left" vertical="top" wrapText="1"/>
    </xf>
    <xf numFmtId="0" fontId="7" fillId="0" borderId="44" xfId="0" applyFont="1" applyBorder="1" applyAlignment="1">
      <alignment horizontal="left" vertical="top" wrapText="1"/>
    </xf>
    <xf numFmtId="0" fontId="3" fillId="0" borderId="0" xfId="1090" applyNumberFormat="1" applyFont="1" applyFill="1" applyBorder="1" applyAlignment="1" applyProtection="1">
      <alignment horizontal="center" vertical="top" wrapText="1"/>
    </xf>
    <xf numFmtId="0" fontId="2" fillId="0" borderId="2" xfId="1087" applyFont="1" applyBorder="1" applyAlignment="1">
      <alignment horizontal="center" vertical="center"/>
    </xf>
    <xf numFmtId="0" fontId="4" fillId="0" borderId="1" xfId="1090" applyNumberFormat="1" applyFont="1" applyFill="1" applyBorder="1" applyAlignment="1" applyProtection="1">
      <alignment horizontal="center" vertical="center" wrapText="1"/>
    </xf>
    <xf numFmtId="0" fontId="4" fillId="0" borderId="2" xfId="1090" applyNumberFormat="1" applyFont="1" applyFill="1" applyBorder="1" applyAlignment="1" applyProtection="1">
      <alignment horizontal="center" vertical="center" wrapText="1"/>
    </xf>
    <xf numFmtId="2" fontId="2" fillId="0" borderId="17" xfId="1090" applyNumberFormat="1" applyFont="1" applyFill="1" applyBorder="1" applyAlignment="1" applyProtection="1">
      <alignment horizontal="center" vertical="top" wrapText="1"/>
    </xf>
    <xf numFmtId="2" fontId="2" fillId="0" borderId="2" xfId="1090" applyNumberFormat="1" applyFont="1" applyFill="1" applyBorder="1" applyAlignment="1" applyProtection="1">
      <alignment horizontal="center" vertical="top" wrapText="1"/>
    </xf>
    <xf numFmtId="0" fontId="2" fillId="0" borderId="17" xfId="1090" applyNumberFormat="1" applyFont="1" applyFill="1" applyBorder="1" applyAlignment="1" applyProtection="1">
      <alignment horizontal="center" vertical="center" wrapText="1"/>
    </xf>
    <xf numFmtId="0" fontId="2" fillId="0" borderId="2" xfId="1090" applyNumberFormat="1" applyFont="1" applyFill="1" applyBorder="1" applyAlignment="1" applyProtection="1">
      <alignment horizontal="center" vertical="center" wrapText="1"/>
    </xf>
    <xf numFmtId="0" fontId="2" fillId="0" borderId="16" xfId="1090" applyNumberFormat="1" applyFont="1" applyFill="1" applyBorder="1" applyAlignment="1" applyProtection="1">
      <alignment horizontal="center" vertical="center" wrapText="1"/>
    </xf>
    <xf numFmtId="0" fontId="2" fillId="0" borderId="1" xfId="1090" applyNumberFormat="1" applyFont="1" applyFill="1" applyBorder="1" applyAlignment="1" applyProtection="1">
      <alignment horizontal="center" vertical="center" wrapText="1"/>
    </xf>
    <xf numFmtId="0" fontId="13" fillId="0" borderId="0" xfId="1087" applyFont="1" applyAlignment="1">
      <alignment horizontal="right"/>
    </xf>
    <xf numFmtId="0" fontId="3" fillId="0" borderId="0" xfId="0" applyFont="1" applyFill="1" applyBorder="1" applyAlignment="1">
      <alignment horizontal="center" vertical="top"/>
    </xf>
    <xf numFmtId="170" fontId="2" fillId="0" borderId="12" xfId="0" applyNumberFormat="1" applyFont="1" applyBorder="1" applyAlignment="1">
      <alignment horizontal="center" vertical="center" wrapText="1"/>
    </xf>
    <xf numFmtId="170" fontId="2" fillId="0" borderId="6" xfId="0" applyNumberFormat="1" applyFont="1" applyBorder="1" applyAlignment="1">
      <alignment horizontal="center" vertical="center" wrapText="1"/>
    </xf>
    <xf numFmtId="0" fontId="304" fillId="0" borderId="0" xfId="0" applyFont="1" applyAlignment="1">
      <alignment horizontal="center" vertical="top" wrapText="1"/>
    </xf>
    <xf numFmtId="0" fontId="42" fillId="0" borderId="0" xfId="0" applyFont="1" applyBorder="1" applyAlignment="1">
      <alignment horizontal="center" vertical="center"/>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6" xfId="0" applyFont="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0" xfId="1063" applyFont="1" applyAlignment="1">
      <alignment horizontal="center"/>
    </xf>
    <xf numFmtId="0" fontId="2" fillId="0" borderId="2" xfId="1063" applyFont="1" applyBorder="1" applyAlignment="1">
      <alignment horizontal="center" vertical="center"/>
    </xf>
    <xf numFmtId="0" fontId="3" fillId="0" borderId="2" xfId="1063" applyFont="1" applyBorder="1" applyAlignment="1">
      <alignment horizontal="center" vertical="center" wrapText="1"/>
    </xf>
    <xf numFmtId="0" fontId="2" fillId="0" borderId="0" xfId="0" applyFont="1" applyAlignment="1">
      <alignment horizontal="right" vertical="top"/>
    </xf>
    <xf numFmtId="0" fontId="292" fillId="0" borderId="0" xfId="1" applyFont="1" applyAlignment="1" applyProtection="1">
      <alignment horizontal="center" vertical="top" wrapText="1"/>
    </xf>
    <xf numFmtId="0" fontId="3" fillId="4" borderId="2" xfId="0" applyFont="1" applyFill="1" applyBorder="1" applyAlignment="1">
      <alignment horizontal="center" vertical="top"/>
    </xf>
    <xf numFmtId="0" fontId="2" fillId="0" borderId="103" xfId="0" applyFont="1" applyFill="1" applyBorder="1" applyAlignment="1">
      <alignment horizontal="center" vertical="center" wrapText="1"/>
    </xf>
    <xf numFmtId="0" fontId="2" fillId="0" borderId="120" xfId="0" applyFont="1" applyFill="1" applyBorder="1" applyAlignment="1">
      <alignment horizontal="center" vertical="center" wrapText="1"/>
    </xf>
    <xf numFmtId="0" fontId="2" fillId="0" borderId="2" xfId="0" applyFont="1" applyFill="1" applyBorder="1" applyAlignment="1">
      <alignment vertical="top" wrapText="1"/>
    </xf>
    <xf numFmtId="0" fontId="2" fillId="0" borderId="38" xfId="0" applyFont="1" applyFill="1" applyBorder="1" applyAlignment="1">
      <alignment horizontal="left" vertical="top" wrapText="1"/>
    </xf>
    <xf numFmtId="0" fontId="2" fillId="0" borderId="56"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57"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0" xfId="0" applyFont="1" applyFill="1" applyBorder="1" applyAlignment="1">
      <alignment horizontal="center" vertical="top"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42" fillId="0" borderId="0" xfId="0" applyFont="1" applyBorder="1" applyAlignment="1">
      <alignment horizontal="center" vertical="top"/>
    </xf>
    <xf numFmtId="0" fontId="24" fillId="0" borderId="183" xfId="0" applyFont="1" applyFill="1" applyBorder="1" applyAlignment="1">
      <alignment horizontal="center" vertical="center" wrapText="1"/>
    </xf>
    <xf numFmtId="0" fontId="24" fillId="0" borderId="166" xfId="0" applyFont="1" applyFill="1" applyBorder="1" applyAlignment="1">
      <alignment horizontal="center" vertical="center" wrapText="1"/>
    </xf>
    <xf numFmtId="0" fontId="42" fillId="0" borderId="106" xfId="0" applyFont="1" applyFill="1" applyBorder="1" applyAlignment="1">
      <alignment horizontal="center" vertical="top" wrapText="1"/>
    </xf>
    <xf numFmtId="0" fontId="42" fillId="0" borderId="105" xfId="0" applyFont="1" applyFill="1" applyBorder="1" applyAlignment="1">
      <alignment horizontal="center" vertical="top" wrapText="1"/>
    </xf>
    <xf numFmtId="0" fontId="42" fillId="0" borderId="190" xfId="0" applyFont="1" applyBorder="1" applyAlignment="1">
      <alignment horizontal="center" vertical="top" wrapText="1"/>
    </xf>
    <xf numFmtId="0" fontId="42" fillId="0" borderId="164" xfId="0" applyFont="1" applyBorder="1" applyAlignment="1">
      <alignment horizontal="center" vertical="top" wrapText="1"/>
    </xf>
    <xf numFmtId="0" fontId="42" fillId="0" borderId="104" xfId="0" applyFont="1" applyBorder="1" applyAlignment="1">
      <alignment horizontal="center" vertical="top" wrapText="1"/>
    </xf>
    <xf numFmtId="0" fontId="42" fillId="0" borderId="106" xfId="0" applyFont="1" applyBorder="1" applyAlignment="1">
      <alignment horizontal="center" vertical="top" wrapText="1"/>
    </xf>
    <xf numFmtId="0" fontId="42" fillId="0" borderId="105" xfId="0" applyFont="1" applyBorder="1" applyAlignment="1">
      <alignment horizontal="center" vertical="top" wrapText="1"/>
    </xf>
    <xf numFmtId="0" fontId="42" fillId="0" borderId="108" xfId="0" applyFont="1" applyBorder="1" applyAlignment="1">
      <alignment horizontal="center" vertical="top" wrapText="1"/>
    </xf>
    <xf numFmtId="3" fontId="24" fillId="0" borderId="8" xfId="0" applyNumberFormat="1" applyFont="1" applyFill="1" applyBorder="1" applyAlignment="1">
      <alignment horizontal="center" vertical="center" wrapText="1"/>
    </xf>
    <xf numFmtId="3" fontId="24" fillId="0" borderId="37" xfId="0" applyNumberFormat="1" applyFont="1" applyFill="1" applyBorder="1" applyAlignment="1">
      <alignment horizontal="center" vertical="center" wrapText="1"/>
    </xf>
    <xf numFmtId="3" fontId="24" fillId="0" borderId="42" xfId="0" applyNumberFormat="1" applyFont="1" applyFill="1" applyBorder="1" applyAlignment="1">
      <alignment horizontal="center" vertical="center" wrapText="1"/>
    </xf>
    <xf numFmtId="0" fontId="42" fillId="0" borderId="165" xfId="0" applyFont="1" applyBorder="1" applyAlignment="1">
      <alignment horizontal="center" vertical="top" wrapText="1"/>
    </xf>
    <xf numFmtId="0" fontId="42" fillId="0" borderId="107" xfId="0" applyFont="1" applyBorder="1" applyAlignment="1">
      <alignment horizontal="center" vertical="top" wrapText="1"/>
    </xf>
    <xf numFmtId="0" fontId="287" fillId="0" borderId="56" xfId="0" applyFont="1" applyBorder="1" applyAlignment="1">
      <alignment horizontal="center" vertical="center" wrapText="1"/>
    </xf>
    <xf numFmtId="0" fontId="287" fillId="0" borderId="0" xfId="0" applyFont="1" applyBorder="1" applyAlignment="1">
      <alignment horizontal="center" vertical="center" wrapText="1"/>
    </xf>
    <xf numFmtId="0" fontId="24" fillId="0" borderId="2" xfId="0" applyFont="1" applyBorder="1" applyAlignment="1">
      <alignment horizontal="left" vertical="top" wrapText="1"/>
    </xf>
    <xf numFmtId="0" fontId="24" fillId="0" borderId="38" xfId="0" applyFont="1" applyBorder="1" applyAlignment="1">
      <alignment horizontal="left" vertical="top" wrapText="1"/>
    </xf>
    <xf numFmtId="0" fontId="24" fillId="0" borderId="56" xfId="0" applyFont="1" applyBorder="1" applyAlignment="1">
      <alignment horizontal="left" vertical="top" wrapText="1"/>
    </xf>
    <xf numFmtId="0" fontId="24" fillId="0" borderId="50" xfId="0" applyFont="1" applyBorder="1" applyAlignment="1">
      <alignment horizontal="left" vertical="top" wrapText="1"/>
    </xf>
    <xf numFmtId="0" fontId="24" fillId="0" borderId="48" xfId="0" applyFont="1" applyBorder="1" applyAlignment="1">
      <alignment horizontal="left" vertical="top" wrapText="1"/>
    </xf>
    <xf numFmtId="0" fontId="24" fillId="0" borderId="0" xfId="0" applyFont="1" applyBorder="1" applyAlignment="1">
      <alignment horizontal="left" vertical="top" wrapText="1"/>
    </xf>
    <xf numFmtId="0" fontId="24" fillId="0" borderId="52" xfId="0" applyFont="1" applyBorder="1" applyAlignment="1">
      <alignment horizontal="left" vertical="top" wrapText="1"/>
    </xf>
    <xf numFmtId="0" fontId="24" fillId="0" borderId="35" xfId="0" applyFont="1" applyBorder="1" applyAlignment="1">
      <alignment horizontal="left" vertical="top" wrapText="1"/>
    </xf>
    <xf numFmtId="0" fontId="24" fillId="0" borderId="57" xfId="0" applyFont="1" applyBorder="1" applyAlignment="1">
      <alignment horizontal="left" vertical="top" wrapText="1"/>
    </xf>
    <xf numFmtId="0" fontId="24" fillId="0" borderId="36" xfId="0" applyFont="1" applyBorder="1" applyAlignment="1">
      <alignment horizontal="left" vertical="top" wrapText="1"/>
    </xf>
    <xf numFmtId="0" fontId="24" fillId="3" borderId="1" xfId="0" applyFont="1" applyFill="1" applyBorder="1" applyAlignment="1">
      <alignment horizontal="left" vertical="top" wrapText="1"/>
    </xf>
    <xf numFmtId="0" fontId="24" fillId="3" borderId="11" xfId="0" applyFont="1" applyFill="1" applyBorder="1" applyAlignment="1">
      <alignment horizontal="left" vertical="top" wrapText="1"/>
    </xf>
    <xf numFmtId="0" fontId="42" fillId="4" borderId="8" xfId="0" applyFont="1" applyFill="1" applyBorder="1" applyAlignment="1">
      <alignment horizontal="center" vertical="top" wrapText="1"/>
    </xf>
    <xf numFmtId="0" fontId="42" fillId="4" borderId="37" xfId="0" applyFont="1" applyFill="1" applyBorder="1" applyAlignment="1">
      <alignment horizontal="center" vertical="top" wrapText="1"/>
    </xf>
    <xf numFmtId="0" fontId="42" fillId="4" borderId="42" xfId="0" applyFont="1" applyFill="1" applyBorder="1" applyAlignment="1">
      <alignment horizontal="center" vertical="top" wrapText="1"/>
    </xf>
    <xf numFmtId="0" fontId="294" fillId="0" borderId="45" xfId="1" applyFont="1" applyBorder="1" applyAlignment="1" applyProtection="1">
      <alignment horizontal="center" vertical="top" wrapText="1"/>
    </xf>
    <xf numFmtId="0" fontId="294" fillId="0" borderId="0" xfId="1" applyFont="1" applyAlignment="1" applyProtection="1">
      <alignment horizontal="center" vertical="top" wrapText="1"/>
    </xf>
    <xf numFmtId="0" fontId="44" fillId="2" borderId="39" xfId="0" applyFont="1" applyFill="1" applyBorder="1" applyAlignment="1">
      <alignment horizontal="left" vertical="top" wrapText="1"/>
    </xf>
    <xf numFmtId="0" fontId="44" fillId="2" borderId="57"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103" xfId="0" applyFont="1" applyBorder="1" applyAlignment="1">
      <alignment horizontal="center" vertical="center"/>
    </xf>
    <xf numFmtId="0" fontId="3" fillId="0" borderId="109" xfId="0" applyFont="1" applyBorder="1" applyAlignment="1">
      <alignment horizontal="center" vertical="center"/>
    </xf>
    <xf numFmtId="0" fontId="3" fillId="0" borderId="120" xfId="0" applyFont="1" applyBorder="1" applyAlignment="1">
      <alignment horizontal="center" vertical="center"/>
    </xf>
    <xf numFmtId="0" fontId="3" fillId="0" borderId="16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4" xfId="0" applyFont="1" applyBorder="1" applyAlignment="1">
      <alignment horizontal="center" vertical="center"/>
    </xf>
    <xf numFmtId="0" fontId="3" fillId="0" borderId="8" xfId="0" applyFont="1" applyBorder="1" applyAlignment="1">
      <alignment horizontal="center" vertical="center"/>
    </xf>
    <xf numFmtId="0" fontId="3" fillId="0" borderId="71" xfId="0" applyFont="1" applyBorder="1" applyAlignment="1">
      <alignment horizontal="center" vertical="center"/>
    </xf>
    <xf numFmtId="0" fontId="3" fillId="0" borderId="105"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0" fontId="3" fillId="0" borderId="48" xfId="0" applyFont="1" applyBorder="1" applyAlignment="1">
      <alignment horizontal="center" vertical="center"/>
    </xf>
    <xf numFmtId="0" fontId="3" fillId="0" borderId="129" xfId="0" applyFont="1" applyBorder="1" applyAlignment="1">
      <alignment horizontal="center" vertical="center"/>
    </xf>
    <xf numFmtId="0" fontId="3" fillId="0" borderId="165" xfId="0" applyFont="1" applyBorder="1" applyAlignment="1">
      <alignment horizontal="center" vertical="center"/>
    </xf>
    <xf numFmtId="0" fontId="3" fillId="0" borderId="92" xfId="0" applyFont="1" applyBorder="1" applyAlignment="1">
      <alignment horizontal="center" vertical="center"/>
    </xf>
    <xf numFmtId="0" fontId="3" fillId="0" borderId="121" xfId="0" applyFont="1" applyBorder="1" applyAlignment="1">
      <alignment horizontal="center" vertical="center"/>
    </xf>
    <xf numFmtId="0" fontId="3" fillId="0" borderId="2" xfId="0" applyFont="1" applyFill="1" applyBorder="1" applyAlignment="1">
      <alignment horizontal="left" vertical="top" wrapText="1"/>
    </xf>
    <xf numFmtId="0" fontId="3" fillId="4" borderId="8" xfId="0" applyFont="1" applyFill="1" applyBorder="1" applyAlignment="1">
      <alignment horizontal="center" vertical="top" wrapText="1"/>
    </xf>
    <xf numFmtId="0" fontId="3" fillId="4" borderId="37" xfId="0" applyFont="1" applyFill="1" applyBorder="1" applyAlignment="1">
      <alignment horizontal="center" vertical="top" wrapText="1"/>
    </xf>
    <xf numFmtId="0" fontId="3" fillId="4" borderId="42" xfId="0" applyFont="1" applyFill="1" applyBorder="1" applyAlignment="1">
      <alignment horizontal="center" vertical="top" wrapText="1"/>
    </xf>
    <xf numFmtId="0" fontId="2" fillId="0" borderId="188" xfId="0" applyFont="1" applyBorder="1" applyAlignment="1">
      <alignment horizontal="center" vertical="top"/>
    </xf>
    <xf numFmtId="0" fontId="2" fillId="0" borderId="185" xfId="0" applyFont="1" applyBorder="1" applyAlignment="1">
      <alignment horizontal="center" vertical="top"/>
    </xf>
    <xf numFmtId="0" fontId="2" fillId="0" borderId="249" xfId="0" applyFont="1" applyBorder="1" applyAlignment="1">
      <alignment horizontal="center" vertical="top"/>
    </xf>
    <xf numFmtId="0" fontId="2" fillId="0" borderId="187" xfId="0" applyFont="1" applyBorder="1" applyAlignment="1">
      <alignment horizontal="center" vertical="top"/>
    </xf>
    <xf numFmtId="0" fontId="2" fillId="0" borderId="47" xfId="0" applyFont="1" applyBorder="1" applyAlignment="1">
      <alignment horizontal="center" vertical="top"/>
    </xf>
    <xf numFmtId="0" fontId="2" fillId="0" borderId="40" xfId="0" applyFont="1" applyBorder="1" applyAlignment="1">
      <alignment horizontal="center" vertical="top"/>
    </xf>
    <xf numFmtId="0" fontId="3" fillId="4" borderId="8" xfId="0" applyFont="1" applyFill="1" applyBorder="1" applyAlignment="1">
      <alignment horizontal="center"/>
    </xf>
    <xf numFmtId="0" fontId="3" fillId="4" borderId="37" xfId="0" applyFont="1" applyFill="1" applyBorder="1" applyAlignment="1">
      <alignment horizontal="center"/>
    </xf>
    <xf numFmtId="0" fontId="3" fillId="4" borderId="42" xfId="0" applyFont="1" applyFill="1" applyBorder="1" applyAlignment="1">
      <alignment horizontal="center"/>
    </xf>
    <xf numFmtId="0" fontId="2" fillId="0" borderId="2" xfId="0" applyFont="1" applyBorder="1" applyAlignment="1">
      <alignment horizontal="center" vertical="top"/>
    </xf>
    <xf numFmtId="0" fontId="2" fillId="0" borderId="194" xfId="0" applyFont="1" applyBorder="1" applyAlignment="1">
      <alignment horizontal="center" vertical="top"/>
    </xf>
    <xf numFmtId="0" fontId="2" fillId="0" borderId="48" xfId="0" applyFont="1" applyBorder="1" applyAlignment="1">
      <alignment horizontal="center" vertical="top"/>
    </xf>
    <xf numFmtId="0" fontId="2" fillId="0" borderId="129" xfId="0" applyFont="1" applyBorder="1" applyAlignment="1">
      <alignment horizontal="center" vertical="top"/>
    </xf>
    <xf numFmtId="0" fontId="3" fillId="0" borderId="0" xfId="0" applyFont="1" applyBorder="1" applyAlignment="1">
      <alignment horizontal="center" vertical="top"/>
    </xf>
    <xf numFmtId="0" fontId="2" fillId="0" borderId="182" xfId="0" applyFont="1" applyBorder="1" applyAlignment="1">
      <alignment horizontal="center" vertical="top" wrapText="1"/>
    </xf>
    <xf numFmtId="0" fontId="2" fillId="0" borderId="184" xfId="0" applyFont="1" applyBorder="1" applyAlignment="1">
      <alignment horizontal="center" vertical="top" wrapText="1"/>
    </xf>
    <xf numFmtId="0" fontId="2" fillId="0" borderId="128" xfId="0" applyFont="1" applyBorder="1" applyAlignment="1">
      <alignment horizontal="center" vertical="top" wrapText="1"/>
    </xf>
    <xf numFmtId="0" fontId="2" fillId="0" borderId="164" xfId="0" applyFont="1" applyBorder="1" applyAlignment="1">
      <alignment horizontal="center" vertical="top"/>
    </xf>
    <xf numFmtId="0" fontId="2" fillId="0" borderId="3" xfId="0" applyFont="1" applyBorder="1" applyAlignment="1">
      <alignment horizontal="center" vertical="top"/>
    </xf>
    <xf numFmtId="0" fontId="2" fillId="0" borderId="104" xfId="0" applyFont="1" applyBorder="1" applyAlignment="1">
      <alignment horizontal="center" vertical="top"/>
    </xf>
    <xf numFmtId="0" fontId="2" fillId="0" borderId="105" xfId="0" applyFont="1" applyBorder="1" applyAlignment="1">
      <alignment horizontal="center" vertical="top"/>
    </xf>
    <xf numFmtId="0" fontId="2" fillId="0" borderId="193" xfId="0" applyFont="1" applyBorder="1" applyAlignment="1">
      <alignment horizontal="center" vertical="top"/>
    </xf>
    <xf numFmtId="0" fontId="2" fillId="0" borderId="0" xfId="0" applyFont="1" applyBorder="1" applyAlignment="1">
      <alignment horizontal="left" vertical="top" wrapText="1"/>
    </xf>
    <xf numFmtId="0" fontId="2" fillId="0" borderId="35" xfId="0" applyFont="1" applyBorder="1" applyAlignment="1">
      <alignment horizontal="left" vertical="top" wrapText="1"/>
    </xf>
    <xf numFmtId="0" fontId="2" fillId="0" borderId="57" xfId="0" applyFont="1" applyBorder="1" applyAlignment="1">
      <alignment horizontal="left" vertical="top" wrapText="1"/>
    </xf>
    <xf numFmtId="0" fontId="2" fillId="0" borderId="36" xfId="0" applyFont="1" applyBorder="1" applyAlignment="1">
      <alignment horizontal="left" vertical="top" wrapText="1"/>
    </xf>
    <xf numFmtId="0" fontId="3" fillId="0" borderId="135" xfId="0" applyFont="1" applyFill="1" applyBorder="1" applyAlignment="1">
      <alignment horizontal="center" vertical="top"/>
    </xf>
    <xf numFmtId="167" fontId="2" fillId="7" borderId="109" xfId="0" applyNumberFormat="1" applyFont="1" applyFill="1" applyBorder="1" applyAlignment="1">
      <alignment horizontal="center"/>
    </xf>
    <xf numFmtId="167" fontId="2" fillId="7" borderId="2" xfId="0" applyNumberFormat="1" applyFont="1" applyFill="1" applyBorder="1" applyAlignment="1">
      <alignment horizontal="center"/>
    </xf>
    <xf numFmtId="167" fontId="2" fillId="7" borderId="92" xfId="0" applyNumberFormat="1" applyFont="1" applyFill="1" applyBorder="1" applyAlignment="1">
      <alignment horizontal="center"/>
    </xf>
    <xf numFmtId="0" fontId="36" fillId="0" borderId="0" xfId="1" applyFont="1" applyBorder="1" applyAlignment="1" applyProtection="1">
      <alignment horizontal="center"/>
    </xf>
    <xf numFmtId="0" fontId="2" fillId="0" borderId="56" xfId="0" applyFont="1" applyBorder="1" applyAlignment="1">
      <alignment horizontal="left" vertical="top" wrapText="1"/>
    </xf>
    <xf numFmtId="0" fontId="3" fillId="0" borderId="0" xfId="0" applyFont="1" applyBorder="1" applyAlignment="1">
      <alignment horizontal="center"/>
    </xf>
    <xf numFmtId="0" fontId="2" fillId="0" borderId="61" xfId="0" applyFont="1" applyFill="1" applyBorder="1" applyAlignment="1">
      <alignment horizontal="left" vertical="top" wrapText="1"/>
    </xf>
    <xf numFmtId="0" fontId="2" fillId="0" borderId="62"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0" xfId="0" applyFont="1" applyBorder="1" applyAlignment="1">
      <alignment horizontal="center"/>
    </xf>
    <xf numFmtId="0" fontId="2" fillId="0" borderId="64" xfId="0" applyFont="1" applyFill="1" applyBorder="1" applyAlignment="1">
      <alignment horizontal="left" vertical="top" wrapText="1"/>
    </xf>
    <xf numFmtId="0" fontId="2" fillId="0" borderId="65"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67"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69" xfId="0" applyFont="1" applyFill="1" applyBorder="1" applyAlignment="1">
      <alignment horizontal="left" vertical="top" wrapText="1"/>
    </xf>
    <xf numFmtId="0" fontId="36" fillId="0" borderId="0" xfId="1" applyFont="1" applyAlignment="1" applyProtection="1">
      <alignment horizontal="center"/>
    </xf>
    <xf numFmtId="0" fontId="3" fillId="7" borderId="17" xfId="0" applyFont="1" applyFill="1" applyBorder="1" applyAlignment="1">
      <alignment horizontal="left"/>
    </xf>
    <xf numFmtId="0" fontId="3" fillId="7" borderId="33" xfId="0" applyFont="1" applyFill="1" applyBorder="1" applyAlignment="1">
      <alignment horizontal="left" vertical="top" wrapText="1" shrinkToFit="1"/>
    </xf>
    <xf numFmtId="0" fontId="2" fillId="0" borderId="16" xfId="1063" applyFont="1" applyBorder="1" applyAlignment="1">
      <alignment horizontal="center" vertical="center"/>
    </xf>
    <xf numFmtId="0" fontId="2" fillId="0" borderId="17" xfId="1063" applyFont="1" applyBorder="1" applyAlignment="1">
      <alignment horizontal="center" vertical="center"/>
    </xf>
    <xf numFmtId="0" fontId="2" fillId="0" borderId="11" xfId="1063" applyFont="1" applyBorder="1" applyAlignment="1">
      <alignment horizontal="center" vertical="center"/>
    </xf>
    <xf numFmtId="0" fontId="2" fillId="0" borderId="3" xfId="1063" applyFont="1" applyBorder="1" applyAlignment="1">
      <alignment horizontal="center" vertical="center"/>
    </xf>
    <xf numFmtId="0" fontId="3" fillId="0" borderId="60" xfId="1063" applyFont="1" applyBorder="1" applyAlignment="1">
      <alignment horizontal="center" vertical="center" wrapText="1"/>
    </xf>
    <xf numFmtId="0" fontId="3" fillId="0" borderId="28" xfId="1063" applyFont="1" applyBorder="1" applyAlignment="1">
      <alignment horizontal="center" vertical="center" wrapText="1"/>
    </xf>
    <xf numFmtId="0" fontId="3" fillId="0" borderId="29" xfId="1063" applyFont="1" applyBorder="1" applyAlignment="1">
      <alignment horizontal="center" vertical="center" wrapText="1"/>
    </xf>
    <xf numFmtId="181" fontId="100" fillId="0" borderId="75" xfId="3" applyNumberFormat="1" applyFont="1" applyBorder="1" applyAlignment="1" applyProtection="1">
      <alignment horizontal="center" vertical="center" wrapText="1"/>
      <protection locked="0"/>
    </xf>
    <xf numFmtId="181" fontId="100" fillId="0" borderId="74" xfId="3" applyNumberFormat="1" applyFont="1" applyBorder="1" applyAlignment="1" applyProtection="1">
      <alignment horizontal="center" vertical="center" wrapText="1"/>
      <protection locked="0"/>
    </xf>
    <xf numFmtId="1" fontId="100" fillId="0" borderId="75" xfId="3" applyNumberFormat="1" applyFont="1" applyBorder="1" applyAlignment="1" applyProtection="1">
      <alignment horizontal="center" vertical="center" wrapText="1"/>
      <protection locked="0"/>
    </xf>
    <xf numFmtId="1" fontId="100" fillId="0" borderId="74" xfId="3" applyNumberFormat="1" applyFont="1" applyBorder="1" applyAlignment="1" applyProtection="1">
      <alignment horizontal="center" vertical="center" wrapText="1"/>
      <protection locked="0"/>
    </xf>
    <xf numFmtId="2" fontId="100" fillId="0" borderId="17" xfId="1024" applyNumberFormat="1" applyFont="1" applyBorder="1" applyAlignment="1" applyProtection="1">
      <alignment horizontal="center" vertical="center" wrapText="1"/>
      <protection hidden="1"/>
    </xf>
    <xf numFmtId="2" fontId="100" fillId="0" borderId="60" xfId="1024" applyNumberFormat="1" applyFont="1" applyBorder="1" applyAlignment="1" applyProtection="1">
      <alignment horizontal="center" vertical="center" wrapText="1"/>
      <protection hidden="1"/>
    </xf>
    <xf numFmtId="181" fontId="275" fillId="0" borderId="246" xfId="999" applyNumberFormat="1" applyFont="1" applyBorder="1" applyAlignment="1" applyProtection="1">
      <alignment horizontal="center" vertical="center" wrapText="1"/>
      <protection locked="0"/>
    </xf>
    <xf numFmtId="1" fontId="275" fillId="0" borderId="246" xfId="999" applyNumberFormat="1" applyFont="1" applyBorder="1" applyAlignment="1" applyProtection="1">
      <alignment horizontal="center" vertical="center" wrapText="1"/>
      <protection locked="0"/>
    </xf>
    <xf numFmtId="2" fontId="275" fillId="0" borderId="198" xfId="1024" applyNumberFormat="1" applyFont="1" applyBorder="1" applyAlignment="1" applyProtection="1">
      <alignment horizontal="center" vertical="center" wrapText="1"/>
      <protection hidden="1"/>
    </xf>
    <xf numFmtId="0" fontId="43" fillId="0" borderId="251" xfId="1005" applyFont="1" applyFill="1" applyBorder="1" applyAlignment="1">
      <alignment horizontal="center" vertical="center" wrapText="1"/>
    </xf>
    <xf numFmtId="0" fontId="43" fillId="0" borderId="143" xfId="1005" applyFont="1" applyFill="1" applyBorder="1" applyAlignment="1">
      <alignment horizontal="center" vertical="center" wrapText="1"/>
    </xf>
    <xf numFmtId="0" fontId="43" fillId="0" borderId="104" xfId="1005" applyFont="1" applyBorder="1" applyAlignment="1">
      <alignment horizontal="center" vertical="center" wrapText="1"/>
    </xf>
    <xf numFmtId="0" fontId="43" fillId="0" borderId="105" xfId="1005" applyFont="1" applyBorder="1" applyAlignment="1">
      <alignment horizontal="center" vertical="center" wrapText="1"/>
    </xf>
    <xf numFmtId="0" fontId="43" fillId="0" borderId="193" xfId="1005" applyFont="1" applyBorder="1" applyAlignment="1">
      <alignment horizontal="center" vertical="center" wrapText="1"/>
    </xf>
    <xf numFmtId="0" fontId="43" fillId="0" borderId="104" xfId="1005" applyFont="1" applyBorder="1" applyAlignment="1">
      <alignment horizontal="center" vertical="center"/>
    </xf>
    <xf numFmtId="0" fontId="43" fillId="0" borderId="105" xfId="1005" applyFont="1" applyBorder="1" applyAlignment="1">
      <alignment horizontal="center" vertical="center"/>
    </xf>
    <xf numFmtId="0" fontId="43" fillId="0" borderId="193" xfId="1005" applyFont="1" applyBorder="1" applyAlignment="1">
      <alignment horizontal="center" vertical="center"/>
    </xf>
    <xf numFmtId="0" fontId="43" fillId="0" borderId="187" xfId="1005" applyFont="1" applyBorder="1" applyAlignment="1">
      <alignment horizontal="center" vertical="center" wrapText="1"/>
    </xf>
    <xf numFmtId="0" fontId="43" fillId="0" borderId="33" xfId="1005" applyFont="1" applyBorder="1" applyAlignment="1">
      <alignment horizontal="center" vertical="center" wrapText="1"/>
    </xf>
    <xf numFmtId="0" fontId="279" fillId="0" borderId="191" xfId="1005" applyFont="1" applyFill="1" applyBorder="1" applyAlignment="1">
      <alignment horizontal="center" vertical="center" wrapText="1"/>
    </xf>
    <xf numFmtId="0" fontId="279" fillId="0" borderId="5" xfId="1005" applyFont="1" applyFill="1" applyBorder="1" applyAlignment="1">
      <alignment horizontal="center" vertical="center" wrapText="1"/>
    </xf>
    <xf numFmtId="0" fontId="43" fillId="0" borderId="103" xfId="1005" applyFont="1" applyBorder="1" applyAlignment="1">
      <alignment horizontal="center" vertical="center"/>
    </xf>
    <xf numFmtId="0" fontId="43" fillId="0" borderId="109" xfId="1005" applyFont="1" applyBorder="1" applyAlignment="1">
      <alignment horizontal="center" vertical="center"/>
    </xf>
    <xf numFmtId="0" fontId="43" fillId="0" borderId="164" xfId="1005" applyFont="1" applyBorder="1" applyAlignment="1">
      <alignment horizontal="center" vertical="center" wrapText="1"/>
    </xf>
    <xf numFmtId="0" fontId="43" fillId="0" borderId="2" xfId="1005" applyFont="1" applyBorder="1" applyAlignment="1">
      <alignment horizontal="center" vertical="center" wrapText="1"/>
    </xf>
    <xf numFmtId="0" fontId="272" fillId="0" borderId="0" xfId="1005" applyFont="1" applyAlignment="1">
      <alignment horizontal="center"/>
    </xf>
    <xf numFmtId="0" fontId="279" fillId="0" borderId="104" xfId="1005" applyFont="1" applyFill="1" applyBorder="1" applyAlignment="1">
      <alignment horizontal="center" vertical="center" wrapText="1"/>
    </xf>
    <xf numFmtId="0" fontId="279" fillId="0" borderId="8" xfId="1005" applyFont="1" applyFill="1" applyBorder="1" applyAlignment="1">
      <alignment horizontal="center" vertical="center" wrapText="1"/>
    </xf>
    <xf numFmtId="0" fontId="3" fillId="0" borderId="0" xfId="1096" applyFont="1" applyFill="1" applyAlignment="1">
      <alignment horizontal="center" wrapText="1"/>
    </xf>
    <xf numFmtId="167" fontId="3" fillId="63" borderId="172" xfId="1096" applyNumberFormat="1" applyFont="1" applyFill="1" applyBorder="1" applyAlignment="1">
      <alignment horizontal="center" vertical="center" wrapText="1"/>
    </xf>
    <xf numFmtId="167" fontId="3" fillId="63" borderId="76" xfId="1096" applyNumberFormat="1" applyFont="1" applyFill="1" applyBorder="1" applyAlignment="1">
      <alignment horizontal="center" vertical="center" wrapText="1"/>
    </xf>
    <xf numFmtId="167" fontId="3" fillId="63" borderId="195" xfId="1096" applyNumberFormat="1"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2" xfId="0" applyFont="1" applyBorder="1" applyAlignment="1">
      <alignment horizontal="center" vertical="center" wrapText="1"/>
    </xf>
    <xf numFmtId="0" fontId="23" fillId="0" borderId="273" xfId="0" applyFont="1" applyBorder="1" applyAlignment="1">
      <alignment horizontal="center" vertical="center" wrapText="1"/>
    </xf>
    <xf numFmtId="0" fontId="23" fillId="0" borderId="257" xfId="0" applyFont="1" applyBorder="1" applyAlignment="1">
      <alignment horizontal="center" vertical="center" wrapText="1"/>
    </xf>
    <xf numFmtId="0" fontId="23" fillId="0" borderId="259" xfId="0" applyFont="1" applyBorder="1" applyAlignment="1">
      <alignment horizontal="center" vertical="center" wrapText="1"/>
    </xf>
    <xf numFmtId="0" fontId="23" fillId="0" borderId="255" xfId="0" applyFont="1" applyBorder="1" applyAlignment="1">
      <alignment horizontal="center" vertical="center" wrapText="1"/>
    </xf>
    <xf numFmtId="0" fontId="23" fillId="0" borderId="276"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42" fillId="0" borderId="283" xfId="0" applyFont="1" applyBorder="1" applyAlignment="1">
      <alignment horizontal="center" vertical="center" wrapText="1"/>
    </xf>
    <xf numFmtId="0" fontId="42" fillId="0" borderId="21" xfId="0" applyFont="1" applyBorder="1" applyAlignment="1">
      <alignment horizontal="center" vertical="center" wrapText="1"/>
    </xf>
    <xf numFmtId="167" fontId="3" fillId="63" borderId="2" xfId="1096" applyNumberFormat="1" applyFont="1" applyFill="1" applyBorder="1" applyAlignment="1">
      <alignment horizontal="center" vertical="center" wrapText="1"/>
    </xf>
    <xf numFmtId="0" fontId="2" fillId="0" borderId="0" xfId="1096" applyFont="1" applyFill="1" applyBorder="1" applyAlignment="1">
      <alignment horizontal="center" vertical="center" wrapText="1"/>
    </xf>
    <xf numFmtId="0" fontId="3" fillId="0" borderId="25" xfId="1096" applyFont="1" applyFill="1" applyBorder="1" applyAlignment="1">
      <alignment horizontal="center" vertical="center" wrapText="1"/>
    </xf>
    <xf numFmtId="0" fontId="3" fillId="0" borderId="33" xfId="1096" applyFont="1" applyFill="1" applyBorder="1" applyAlignment="1">
      <alignment horizontal="center" vertical="center" wrapText="1"/>
    </xf>
    <xf numFmtId="0" fontId="3" fillId="0" borderId="25" xfId="1096" applyFont="1" applyBorder="1" applyAlignment="1">
      <alignment horizontal="center" vertical="center" wrapText="1"/>
    </xf>
    <xf numFmtId="0" fontId="3" fillId="0" borderId="33" xfId="1096" applyFont="1" applyBorder="1" applyAlignment="1">
      <alignment horizontal="center" vertical="center" wrapText="1"/>
    </xf>
    <xf numFmtId="0" fontId="297" fillId="0" borderId="25" xfId="1100" applyFont="1" applyFill="1" applyBorder="1"/>
    <xf numFmtId="181" fontId="297" fillId="73" borderId="2" xfId="1100" applyNumberFormat="1" applyFont="1" applyFill="1" applyBorder="1" applyAlignment="1">
      <alignment horizontal="center"/>
    </xf>
    <xf numFmtId="0" fontId="297" fillId="0" borderId="0" xfId="1100" applyFont="1" applyAlignment="1">
      <alignment horizontal="center"/>
    </xf>
    <xf numFmtId="1" fontId="297" fillId="73" borderId="2" xfId="1100" applyNumberFormat="1" applyFont="1" applyFill="1" applyBorder="1" applyAlignment="1">
      <alignment horizontal="center"/>
    </xf>
    <xf numFmtId="0" fontId="309" fillId="77" borderId="0" xfId="1062" applyFont="1" applyFill="1" applyAlignment="1">
      <alignment horizontal="center" vertical="center" wrapText="1"/>
    </xf>
    <xf numFmtId="181" fontId="276" fillId="77" borderId="2" xfId="1062" applyNumberFormat="1" applyFont="1" applyFill="1" applyBorder="1" applyAlignment="1">
      <alignment horizontal="center" vertical="center"/>
    </xf>
    <xf numFmtId="4" fontId="8" fillId="77" borderId="2" xfId="1061" applyNumberFormat="1" applyFont="1" applyFill="1" applyBorder="1" applyAlignment="1">
      <alignment horizontal="center"/>
    </xf>
    <xf numFmtId="4" fontId="8" fillId="77" borderId="2" xfId="1061" applyNumberFormat="1" applyFont="1" applyFill="1" applyBorder="1" applyAlignment="1">
      <alignment horizontal="center" wrapText="1"/>
    </xf>
    <xf numFmtId="4" fontId="8" fillId="77" borderId="2" xfId="1061" applyNumberFormat="1" applyFont="1" applyFill="1" applyBorder="1" applyAlignment="1">
      <alignment horizontal="center" vertical="distributed"/>
    </xf>
    <xf numFmtId="0" fontId="310" fillId="77" borderId="0" xfId="0" applyFont="1" applyFill="1"/>
    <xf numFmtId="0" fontId="23" fillId="77" borderId="2" xfId="1061" applyFont="1" applyFill="1" applyBorder="1"/>
    <xf numFmtId="0" fontId="23" fillId="77" borderId="2" xfId="1061" applyFont="1" applyFill="1" applyBorder="1" applyAlignment="1">
      <alignment horizontal="center" vertical="center"/>
    </xf>
    <xf numFmtId="0" fontId="265" fillId="0" borderId="14" xfId="1023" applyFont="1" applyFill="1" applyBorder="1" applyAlignment="1" applyProtection="1">
      <alignment horizontal="center" vertical="center" wrapText="1"/>
      <protection locked="0"/>
    </xf>
    <xf numFmtId="0" fontId="265" fillId="0" borderId="22" xfId="1100" applyFont="1" applyFill="1" applyBorder="1" applyAlignment="1">
      <alignment horizontal="center" vertical="center"/>
    </xf>
    <xf numFmtId="0" fontId="265" fillId="0" borderId="247" xfId="1100" applyFont="1" applyFill="1" applyBorder="1" applyAlignment="1">
      <alignment horizontal="center" vertical="center"/>
    </xf>
    <xf numFmtId="0" fontId="265" fillId="0" borderId="247" xfId="1100" applyFont="1" applyFill="1" applyBorder="1" applyAlignment="1">
      <alignment horizontal="center"/>
    </xf>
    <xf numFmtId="0" fontId="265" fillId="0" borderId="248" xfId="1100" applyFont="1" applyFill="1" applyBorder="1" applyAlignment="1">
      <alignment horizontal="center" vertical="center"/>
    </xf>
    <xf numFmtId="1" fontId="265" fillId="0" borderId="247" xfId="1100" applyNumberFormat="1" applyFont="1" applyFill="1" applyBorder="1" applyAlignment="1">
      <alignment horizontal="center" vertical="center"/>
    </xf>
    <xf numFmtId="3" fontId="265" fillId="0" borderId="248" xfId="1100" applyNumberFormat="1" applyFont="1" applyFill="1" applyBorder="1" applyAlignment="1">
      <alignment horizontal="center" vertical="center"/>
    </xf>
    <xf numFmtId="0" fontId="265" fillId="0" borderId="20" xfId="1100" applyFont="1" applyFill="1" applyBorder="1" applyAlignment="1">
      <alignment horizontal="center" vertical="center"/>
    </xf>
    <xf numFmtId="0" fontId="265" fillId="0" borderId="40" xfId="1100" applyFont="1" applyFill="1" applyBorder="1" applyAlignment="1">
      <alignment horizontal="center" vertical="center"/>
    </xf>
    <xf numFmtId="0" fontId="265" fillId="0" borderId="40" xfId="1100" applyFont="1" applyFill="1" applyBorder="1" applyAlignment="1">
      <alignment horizontal="center"/>
    </xf>
    <xf numFmtId="0" fontId="265" fillId="0" borderId="271" xfId="1100" applyFont="1" applyFill="1" applyBorder="1" applyAlignment="1">
      <alignment horizontal="center" vertical="center"/>
    </xf>
    <xf numFmtId="0" fontId="1" fillId="0" borderId="0" xfId="1100" applyAlignment="1">
      <alignment horizontal="center" wrapText="1"/>
    </xf>
    <xf numFmtId="1" fontId="297" fillId="0" borderId="1" xfId="1100" applyNumberFormat="1" applyFont="1" applyFill="1" applyBorder="1" applyAlignment="1">
      <alignment horizontal="center"/>
    </xf>
    <xf numFmtId="0" fontId="297" fillId="0" borderId="30" xfId="1100" applyFont="1" applyFill="1" applyBorder="1" applyAlignment="1">
      <alignment horizontal="center"/>
    </xf>
    <xf numFmtId="0" fontId="297" fillId="0" borderId="1" xfId="1100" applyFont="1" applyFill="1" applyBorder="1" applyAlignment="1">
      <alignment horizontal="center"/>
    </xf>
    <xf numFmtId="0" fontId="311" fillId="0" borderId="0" xfId="1100" applyFont="1"/>
    <xf numFmtId="1" fontId="311" fillId="80" borderId="0" xfId="1100" applyNumberFormat="1" applyFont="1" applyFill="1"/>
    <xf numFmtId="1" fontId="308" fillId="0" borderId="2" xfId="1100" applyNumberFormat="1" applyFont="1" applyFill="1" applyBorder="1" applyAlignment="1">
      <alignment horizontal="center"/>
    </xf>
    <xf numFmtId="181" fontId="297" fillId="0" borderId="2" xfId="1100" applyNumberFormat="1" applyFont="1" applyBorder="1" applyAlignment="1">
      <alignment horizontal="center" vertical="center"/>
    </xf>
    <xf numFmtId="181" fontId="297" fillId="0" borderId="2" xfId="1100" applyNumberFormat="1" applyFont="1" applyFill="1" applyBorder="1" applyAlignment="1">
      <alignment horizontal="center" vertical="center"/>
    </xf>
    <xf numFmtId="181" fontId="297" fillId="0" borderId="25" xfId="1100" applyNumberFormat="1" applyFont="1" applyBorder="1" applyAlignment="1">
      <alignment horizontal="center" vertical="center"/>
    </xf>
    <xf numFmtId="181" fontId="297" fillId="0" borderId="50" xfId="1100" applyNumberFormat="1" applyFont="1" applyBorder="1" applyAlignment="1">
      <alignment horizontal="center"/>
    </xf>
    <xf numFmtId="181" fontId="265" fillId="0" borderId="74" xfId="1100" applyNumberFormat="1" applyFont="1" applyFill="1" applyBorder="1" applyAlignment="1">
      <alignment horizontal="center" vertical="center"/>
    </xf>
    <xf numFmtId="181" fontId="297" fillId="0" borderId="2" xfId="1100" applyNumberFormat="1" applyFont="1" applyFill="1" applyBorder="1" applyAlignment="1">
      <alignment horizontal="center"/>
    </xf>
    <xf numFmtId="181" fontId="297" fillId="0" borderId="25" xfId="1100" applyNumberFormat="1" applyFont="1" applyFill="1" applyBorder="1" applyAlignment="1">
      <alignment horizontal="center"/>
    </xf>
    <xf numFmtId="181" fontId="265" fillId="0" borderId="247" xfId="1100" applyNumberFormat="1" applyFont="1" applyFill="1" applyBorder="1" applyAlignment="1">
      <alignment horizontal="center" vertical="center"/>
    </xf>
    <xf numFmtId="181" fontId="297" fillId="0" borderId="25" xfId="1100" applyNumberFormat="1" applyFont="1" applyBorder="1" applyAlignment="1">
      <alignment horizontal="center"/>
    </xf>
    <xf numFmtId="0" fontId="278"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3" fillId="0" borderId="11" xfId="0" applyFont="1" applyFill="1" applyBorder="1" applyAlignment="1">
      <alignment vertical="center" wrapText="1"/>
    </xf>
    <xf numFmtId="3" fontId="3" fillId="0" borderId="3" xfId="0" applyNumberFormat="1" applyFont="1" applyFill="1" applyBorder="1" applyAlignment="1">
      <alignment horizontal="center" vertical="center" wrapText="1"/>
    </xf>
    <xf numFmtId="167"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25" xfId="0" applyNumberFormat="1" applyFont="1" applyFill="1" applyBorder="1" applyAlignment="1">
      <alignment horizontal="center" vertical="center" wrapText="1"/>
    </xf>
    <xf numFmtId="3" fontId="3" fillId="0" borderId="26" xfId="0" applyNumberFormat="1" applyFont="1" applyFill="1" applyBorder="1" applyAlignment="1">
      <alignment horizontal="center" vertical="center" wrapText="1"/>
    </xf>
    <xf numFmtId="0" fontId="2" fillId="0" borderId="58" xfId="0" applyFont="1" applyBorder="1" applyAlignment="1">
      <alignment horizontal="center" vertical="center"/>
    </xf>
    <xf numFmtId="9" fontId="42" fillId="77" borderId="0" xfId="0" applyNumberFormat="1" applyFont="1" applyFill="1" applyAlignment="1">
      <alignment horizontal="center" vertical="center"/>
    </xf>
    <xf numFmtId="3" fontId="42" fillId="77" borderId="0" xfId="0" applyNumberFormat="1" applyFont="1" applyFill="1" applyAlignment="1">
      <alignment horizontal="center" vertical="center"/>
    </xf>
    <xf numFmtId="0" fontId="3" fillId="0" borderId="1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5"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12" fillId="2" borderId="101" xfId="0" applyFont="1" applyFill="1" applyBorder="1" applyAlignment="1">
      <alignment horizontal="left" wrapText="1"/>
    </xf>
    <xf numFmtId="0" fontId="312" fillId="2" borderId="56" xfId="0" applyFont="1" applyFill="1" applyBorder="1" applyAlignment="1">
      <alignment horizontal="left" wrapText="1"/>
    </xf>
    <xf numFmtId="0" fontId="2" fillId="0" borderId="2" xfId="0" applyFont="1" applyFill="1" applyBorder="1" applyAlignment="1">
      <alignment horizontal="center" vertical="center" wrapText="1"/>
    </xf>
    <xf numFmtId="0" fontId="3" fillId="75" borderId="0" xfId="1096" applyFont="1" applyFill="1" applyAlignment="1">
      <alignment horizontal="center" vertical="center" wrapText="1"/>
    </xf>
  </cellXfs>
  <cellStyles count="1101">
    <cellStyle name="-" xfId="4"/>
    <cellStyle name="%1" xfId="5"/>
    <cellStyle name="******************************************" xfId="6"/>
    <cellStyle name=";;;" xfId="7"/>
    <cellStyle name="_08.10.2007_Always_FinModel" xfId="8"/>
    <cellStyle name="_Arab Light Pricing" xfId="9"/>
    <cellStyle name="_Badin_v2" xfId="10"/>
    <cellStyle name="_Balance" xfId="11"/>
    <cellStyle name="_book1" xfId="12"/>
    <cellStyle name="_Capex" xfId="13"/>
    <cellStyle name="_Cash" xfId="14"/>
    <cellStyle name="_Comma" xfId="15"/>
    <cellStyle name="_Company-Made Charts" xfId="16"/>
    <cellStyle name="_Conversion" xfId="17"/>
    <cellStyle name="_Copy of Rosneft_Standalone_v23 (TA)" xfId="18"/>
    <cellStyle name="_DCF" xfId="19"/>
    <cellStyle name="_DCF_HG_v.7_2006-2015yrs" xfId="20"/>
    <cellStyle name="_Dlya_analitik_ov Eng original" xfId="21"/>
    <cellStyle name="_Dlya_analitik_ov Eng original_Arab Light Pricing" xfId="22"/>
    <cellStyle name="_Dlya_analitik_ov Eng original_Arab Light Pricing_Копия Копия Кэш-фло к проекту_2010 (с изменениями процентой ставки СБ и ВТБ) с учетом пролонгирования СБ и АЭБ" xfId="23"/>
    <cellStyle name="_Dlya_analitik_ov Eng original_Book3" xfId="24"/>
    <cellStyle name="_Dlya_analitik_ov Eng original_Book3_Копия Копия Кэш-фло к проекту_2010 (с изменениями процентой ставки СБ и ВТБ) с учетом пролонгирования СБ и АЭБ" xfId="25"/>
    <cellStyle name="_Dlya_analitik_ov Eng original_Копия Копия Кэш-фло к проекту_2010 (с изменениями процентой ставки СБ и ВТБ) с учетом пролонгирования СБ и АЭБ" xfId="26"/>
    <cellStyle name="_Dollar" xfId="27"/>
    <cellStyle name="_Encana_v8" xfId="28"/>
    <cellStyle name="_FCP 405B and 406A_v52" xfId="29"/>
    <cellStyle name="_FFF" xfId="30"/>
    <cellStyle name="_FFF_New Form10_2" xfId="31"/>
    <cellStyle name="_FFF_Nsi" xfId="32"/>
    <cellStyle name="_FFF_Nsi_1" xfId="33"/>
    <cellStyle name="_FFF_Nsi_139" xfId="34"/>
    <cellStyle name="_FFF_Nsi_140" xfId="35"/>
    <cellStyle name="_FFF_Nsi_140(Зах)" xfId="36"/>
    <cellStyle name="_FFF_Nsi_140_mod" xfId="37"/>
    <cellStyle name="_FFF_Summary" xfId="38"/>
    <cellStyle name="_FFF_Tax_form_1кв_3" xfId="39"/>
    <cellStyle name="_FFF_БКЭ" xfId="40"/>
    <cellStyle name="_Fields analysis" xfId="41"/>
    <cellStyle name="_Fields analysis_1" xfId="42"/>
    <cellStyle name="_Final_Book_010301" xfId="43"/>
    <cellStyle name="_Final_Book_010301_New Form10_2" xfId="44"/>
    <cellStyle name="_Final_Book_010301_Nsi" xfId="45"/>
    <cellStyle name="_Final_Book_010301_Nsi_1" xfId="46"/>
    <cellStyle name="_Final_Book_010301_Nsi_139" xfId="47"/>
    <cellStyle name="_Final_Book_010301_Nsi_140" xfId="48"/>
    <cellStyle name="_Final_Book_010301_Nsi_140(Зах)" xfId="49"/>
    <cellStyle name="_Final_Book_010301_Nsi_140_mod" xfId="50"/>
    <cellStyle name="_Final_Book_010301_Summary" xfId="51"/>
    <cellStyle name="_Final_Book_010301_Tax_form_1кв_3" xfId="52"/>
    <cellStyle name="_Final_Book_010301_БКЭ" xfId="53"/>
    <cellStyle name="_Gazprom_Standalone_v103_ta" xfId="54"/>
    <cellStyle name="_Income" xfId="55"/>
    <cellStyle name="_Income_1" xfId="56"/>
    <cellStyle name="_Income_1_DCF" xfId="57"/>
    <cellStyle name="_Income_1_DCF_Копия Копия Кэш-фло к проекту_2010 (с изменениями процентой ставки СБ и ВТБ) с учетом пролонгирования СБ и АЭБ" xfId="58"/>
    <cellStyle name="_Income_DCF" xfId="59"/>
    <cellStyle name="_Income_Income" xfId="60"/>
    <cellStyle name="_Income_Копия Копия Кэш-фло к проекту_2010 (с изменениями процентой ставки СБ и ВТБ) с учетом пролонгирования СБ и АЭБ" xfId="61"/>
    <cellStyle name="_info_for_invest_analysts_24.10.07" xfId="62"/>
    <cellStyle name="_Inter_segment(1)" xfId="63"/>
    <cellStyle name="_JPetro Refinery v37 draft" xfId="64"/>
    <cellStyle name="_JPetro Refinery v37 draft_Recovered" xfId="65"/>
    <cellStyle name="_Kazakhstan rec to WM_051104" xfId="66"/>
    <cellStyle name="_Kazakhstan rec to WM_051104_Arab Light Pricing" xfId="67"/>
    <cellStyle name="_Kazakhstan rec to WM_051104_Book3" xfId="68"/>
    <cellStyle name="_Kazakhstan rec to WM_051104_Historical Financials" xfId="69"/>
    <cellStyle name="_Kazakhstan rec to WM_051104_PPL v35" xfId="70"/>
    <cellStyle name="_Kazakhstan rec to WM_051104_Premier corporate model v43 MS" xfId="71"/>
    <cellStyle name="_Kazakhstan rec to WM_051104_Premier corporate model v94" xfId="72"/>
    <cellStyle name="_Kazakhstan rec to WM_051104_Project Tchaikovsky v24" xfId="73"/>
    <cellStyle name="_Kazakhstan rec to WM_051104_Russian asset model v12" xfId="74"/>
    <cellStyle name="_Kazakhstan_v14_2004 WoodMac" xfId="75"/>
    <cellStyle name="_Kazakhstan_v14_2004 WoodMac_Arab Light Pricing" xfId="76"/>
    <cellStyle name="_Kazakhstan_v14_2004 WoodMac_Book3" xfId="77"/>
    <cellStyle name="_Kazakhstan_v14_2004 WoodMac_Historical Financials" xfId="78"/>
    <cellStyle name="_Kazakhstan_v14_2004 WoodMac_PPL v35" xfId="79"/>
    <cellStyle name="_Kazakhstan_v14_2004 WoodMac_Premier corporate model v43 MS" xfId="80"/>
    <cellStyle name="_Kazakhstan_v14_2004 WoodMac_Premier corporate model v94" xfId="81"/>
    <cellStyle name="_Kazakhstan_v14_2004 WoodMac_Project Tchaikovsky v24" xfId="82"/>
    <cellStyle name="_Kazakhstan_v14_2004 WoodMac_Russian asset model v12" xfId="83"/>
    <cellStyle name="_KazMunaiTeniz v58" xfId="84"/>
    <cellStyle name="_LUKoil" xfId="85"/>
    <cellStyle name="_LUKoil NEW" xfId="86"/>
    <cellStyle name="_Multiple" xfId="87"/>
    <cellStyle name="_MultipleSpace" xfId="88"/>
    <cellStyle name="_NAV_developers in russia" xfId="89"/>
    <cellStyle name="_New_Sofi" xfId="90"/>
    <cellStyle name="_New_Sofi_FFF" xfId="91"/>
    <cellStyle name="_New_Sofi_New Form10_2" xfId="92"/>
    <cellStyle name="_New_Sofi_Nsi" xfId="93"/>
    <cellStyle name="_New_Sofi_Nsi_1" xfId="94"/>
    <cellStyle name="_New_Sofi_Nsi_139" xfId="95"/>
    <cellStyle name="_New_Sofi_Nsi_140" xfId="96"/>
    <cellStyle name="_New_Sofi_Nsi_140(Зах)" xfId="97"/>
    <cellStyle name="_New_Sofi_Nsi_140_mod" xfId="98"/>
    <cellStyle name="_New_Sofi_Summary" xfId="99"/>
    <cellStyle name="_New_Sofi_Tax_form_1кв_3" xfId="100"/>
    <cellStyle name="_New_Sofi_БКЭ" xfId="101"/>
    <cellStyle name="_NIS" xfId="102"/>
    <cellStyle name="_NOVA Data" xfId="103"/>
    <cellStyle name="_Nsi" xfId="104"/>
    <cellStyle name="_Opex" xfId="105"/>
    <cellStyle name="_Pakistan Upstream Models_v3" xfId="106"/>
    <cellStyle name="_Percent" xfId="107"/>
    <cellStyle name="_PercentSpace" xfId="108"/>
    <cellStyle name="_PPL v35" xfId="109"/>
    <cellStyle name="_Preliminary financials" xfId="110"/>
    <cellStyle name="_Preliminary financials1" xfId="111"/>
    <cellStyle name="_Premarketing010604" xfId="112"/>
    <cellStyle name="_Production" xfId="113"/>
    <cellStyle name="_Production_Cash" xfId="114"/>
    <cellStyle name="_Production_Data" xfId="115"/>
    <cellStyle name="_Production_Fields analysis" xfId="116"/>
    <cellStyle name="_Project Caesar_v66" xfId="117"/>
    <cellStyle name="_Project Caesar_v68" xfId="118"/>
    <cellStyle name="_Project Luxor EFC Model_No Delay Case_v2_with BS price" xfId="119"/>
    <cellStyle name="_Project Model" xfId="120"/>
    <cellStyle name="_Project Ozone_April 14 v7" xfId="121"/>
    <cellStyle name="_Q&amp;A_outstanding questions 28.09.2007" xfId="122"/>
    <cellStyle name="_Rospan" xfId="123"/>
    <cellStyle name="_Suvar_1" xfId="124"/>
    <cellStyle name="_Suvar_2" xfId="125"/>
    <cellStyle name="_Suvar_4" xfId="126"/>
    <cellStyle name="_Suvar_8_Ставки арендные по комплексам" xfId="127"/>
    <cellStyle name="_SUVAR_DCF_v.24dec07" xfId="128"/>
    <cellStyle name="_TNK BP" xfId="129"/>
    <cellStyle name="_US capex" xfId="130"/>
    <cellStyle name="_Yukos_w_Yugansk" xfId="131"/>
    <cellStyle name="_бизнес план по отстрелу волков" xfId="132"/>
    <cellStyle name="_Информация по торговым центрам для Рубцова Алексея  13.11.07" xfId="133"/>
    <cellStyle name="_Книга3" xfId="134"/>
    <cellStyle name="_Книга3_New Form10_2" xfId="135"/>
    <cellStyle name="_Книга3_Nsi" xfId="136"/>
    <cellStyle name="_Книга3_Nsi_1" xfId="137"/>
    <cellStyle name="_Книга3_Nsi_139" xfId="138"/>
    <cellStyle name="_Книга3_Nsi_140" xfId="139"/>
    <cellStyle name="_Книга3_Nsi_140(Зах)" xfId="140"/>
    <cellStyle name="_Книга3_Nsi_140_mod" xfId="141"/>
    <cellStyle name="_Книга3_Summary" xfId="142"/>
    <cellStyle name="_Книга3_Tax_form_1кв_3" xfId="143"/>
    <cellStyle name="_Книга3_БКЭ" xfId="144"/>
    <cellStyle name="_Книга7" xfId="145"/>
    <cellStyle name="_Книга7_New Form10_2" xfId="146"/>
    <cellStyle name="_Книга7_Nsi" xfId="147"/>
    <cellStyle name="_Книга7_Nsi_1" xfId="148"/>
    <cellStyle name="_Книга7_Nsi_139" xfId="149"/>
    <cellStyle name="_Книга7_Nsi_140" xfId="150"/>
    <cellStyle name="_Книга7_Nsi_140(Зах)" xfId="151"/>
    <cellStyle name="_Книга7_Nsi_140_mod" xfId="152"/>
    <cellStyle name="_Книга7_Summary" xfId="153"/>
    <cellStyle name="_Книга7_Tax_form_1кв_3" xfId="154"/>
    <cellStyle name="_Книга7_БКЭ" xfId="155"/>
    <cellStyle name="_лизинговая компания" xfId="156"/>
    <cellStyle name="_Расчеты кинотеатра" xfId="157"/>
    <cellStyle name="_форма бизнес-плана" xfId="158"/>
    <cellStyle name="’Ê‰Ý [0.00]_GE 3 MINIMUM" xfId="159"/>
    <cellStyle name="’Ê‰Ý_GE 3 MINIMUM" xfId="160"/>
    <cellStyle name="”ќђќ‘ћ‚›‰" xfId="161"/>
    <cellStyle name="”љ‘ђћ‚ђќќ›‰" xfId="162"/>
    <cellStyle name="„…ќ…†ќ›‰" xfId="163"/>
    <cellStyle name="„ђ’ђ" xfId="164"/>
    <cellStyle name="£ BP" xfId="165"/>
    <cellStyle name="¥ JY" xfId="166"/>
    <cellStyle name="=C:\WINNT35\SYSTEM32\COMMAND.COM" xfId="167"/>
    <cellStyle name="=D:\WINNT\SYSTEM32\COMMAND.COM" xfId="168"/>
    <cellStyle name="‡ђѓћ‹ћ‚ћљ1" xfId="169"/>
    <cellStyle name="‡ђѓћ‹ћ‚ћљ2" xfId="170"/>
    <cellStyle name="•W€_GE 3 MINIMUM" xfId="171"/>
    <cellStyle name="’ћѓћ‚›‰" xfId="172"/>
    <cellStyle name="0" xfId="173"/>
    <cellStyle name="0%" xfId="174"/>
    <cellStyle name="0,00;0;" xfId="175"/>
    <cellStyle name="0.0" xfId="176"/>
    <cellStyle name="0.0%" xfId="177"/>
    <cellStyle name="0.0_Arab Light Pricing" xfId="178"/>
    <cellStyle name="0.00" xfId="179"/>
    <cellStyle name="0.00%" xfId="180"/>
    <cellStyle name="0.00_Arab Light Pricing" xfId="181"/>
    <cellStyle name="0_Arab Light Pricing" xfId="182"/>
    <cellStyle name="0_Badin_v2" xfId="183"/>
    <cellStyle name="0_Berlin House Data " xfId="184"/>
    <cellStyle name="0_book1" xfId="185"/>
    <cellStyle name="0_Consolidated CF" xfId="186"/>
    <cellStyle name="0_delta_market_model_v1" xfId="187"/>
    <cellStyle name="0_Encana_v8" xfId="188"/>
    <cellStyle name="0_Encana_v8_Копия Копия Кэш-фло к проекту_2010 (с изменениями процентой ставки СБ и ВТБ) с учетом пролонгирования СБ и АЭБ" xfId="189"/>
    <cellStyle name="0_eph_model" xfId="190"/>
    <cellStyle name="0_Gazprom_Standalone_v103_ta" xfId="191"/>
    <cellStyle name="0_Gazprom_Standalone_v103_ta_Копия Копия Кэш-фло к проекту_2010 (с изменениями процентой ставки СБ и ВТБ) с учетом пролонгирования СБ и АЭБ" xfId="192"/>
    <cellStyle name="0_kalina_model" xfId="193"/>
    <cellStyle name="0_Pakistan Upstream Models_v3" xfId="194"/>
    <cellStyle name="0_PPL v35" xfId="195"/>
    <cellStyle name="0_Project Ozone_April 14 v7" xfId="196"/>
    <cellStyle name="0_Samples" xfId="197"/>
    <cellStyle name="0_Strategy Model BANK_October2008 Alfa" xfId="198"/>
    <cellStyle name="0_Strategy Model BANK_October2008 Alfa_Копия Копия Кэш-фло к проекту_2010 (с изменениями процентой ставки СБ и ВТБ) с учетом пролонгирования СБ и АЭБ" xfId="199"/>
    <cellStyle name="01_Page Heading" xfId="200"/>
    <cellStyle name="02_Rule above and below" xfId="201"/>
    <cellStyle name="03_Table Notes" xfId="202"/>
    <cellStyle name="04_Bold table figs" xfId="203"/>
    <cellStyle name="05_table figs" xfId="204"/>
    <cellStyle name="06_per cent" xfId="205"/>
    <cellStyle name="07_Bold table text" xfId="206"/>
    <cellStyle name="1,comma" xfId="207"/>
    <cellStyle name="12Bold" xfId="208"/>
    <cellStyle name="1Normal" xfId="209"/>
    <cellStyle name="20% - Accent1" xfId="210"/>
    <cellStyle name="20% - Accent2" xfId="211"/>
    <cellStyle name="20% - Accent3" xfId="212"/>
    <cellStyle name="20% - Accent4" xfId="213"/>
    <cellStyle name="20% - Accent5" xfId="214"/>
    <cellStyle name="20% - Accent6" xfId="215"/>
    <cellStyle name="20% — акцент1" xfId="216"/>
    <cellStyle name="20% — акцент2" xfId="217"/>
    <cellStyle name="20% — акцент3" xfId="218"/>
    <cellStyle name="20% — акцент4" xfId="219"/>
    <cellStyle name="20% — акцент5" xfId="220"/>
    <cellStyle name="20% — акцент6" xfId="221"/>
    <cellStyle name="40% - Accent1" xfId="222"/>
    <cellStyle name="40% - Accent2" xfId="223"/>
    <cellStyle name="40% - Accent3" xfId="224"/>
    <cellStyle name="40% - Accent4" xfId="225"/>
    <cellStyle name="40% - Accent5" xfId="226"/>
    <cellStyle name="40% - Accent6" xfId="227"/>
    <cellStyle name="40% — акцент1" xfId="228"/>
    <cellStyle name="40% — акцент2" xfId="229"/>
    <cellStyle name="40% — акцент3" xfId="230"/>
    <cellStyle name="40% — акцент4" xfId="231"/>
    <cellStyle name="40% — акцент5" xfId="232"/>
    <cellStyle name="40% — акцент6" xfId="233"/>
    <cellStyle name="60% - Accent1" xfId="234"/>
    <cellStyle name="60% - Accent2" xfId="235"/>
    <cellStyle name="60% - Accent3" xfId="236"/>
    <cellStyle name="60% - Accent4" xfId="237"/>
    <cellStyle name="60% - Accent5" xfId="238"/>
    <cellStyle name="60% - Accent6" xfId="239"/>
    <cellStyle name="60% — акцент1" xfId="240"/>
    <cellStyle name="60% — акцент2" xfId="241"/>
    <cellStyle name="60% — акцент3" xfId="242"/>
    <cellStyle name="60% — акцент4" xfId="243"/>
    <cellStyle name="60% — акцент5" xfId="244"/>
    <cellStyle name="60% — акцент6" xfId="245"/>
    <cellStyle name="752131" xfId="246"/>
    <cellStyle name="8pt" xfId="247"/>
    <cellStyle name="A_Block Space" xfId="248"/>
    <cellStyle name="A_BlueLine" xfId="249"/>
    <cellStyle name="A_BlueLine_Income" xfId="250"/>
    <cellStyle name="A_Do not Change" xfId="251"/>
    <cellStyle name="A_Estimate" xfId="252"/>
    <cellStyle name="A_Memo" xfId="253"/>
    <cellStyle name="A_Memo_Income" xfId="254"/>
    <cellStyle name="A_Memo_Income_Копия Копия Кэш-фло к проекту_2010 (с изменениями процентой ставки СБ и ВТБ) с учетом пролонгирования СБ и АЭБ" xfId="255"/>
    <cellStyle name="A_Normal" xfId="256"/>
    <cellStyle name="A_Normal Forecast" xfId="257"/>
    <cellStyle name="A_Normal Forecast_Income" xfId="258"/>
    <cellStyle name="A_Normal Historical" xfId="259"/>
    <cellStyle name="A_Normal Historical_Income" xfId="260"/>
    <cellStyle name="A_Normal Historical_Income_Копия Копия Кэш-фло к проекту_2010 (с изменениями процентой ставки СБ и ВТБ) с учетом пролонгирования СБ и АЭБ" xfId="261"/>
    <cellStyle name="A_Normal_Income" xfId="262"/>
    <cellStyle name="A_Normal_Income_Копия Копия Кэш-фло к проекту_2010 (с изменениями процентой ставки СБ и ВТБ) с учетом пролонгирования СБ и АЭБ" xfId="263"/>
    <cellStyle name="A_Rate_Data" xfId="264"/>
    <cellStyle name="A_Rate_Data Historical" xfId="265"/>
    <cellStyle name="A_Rate_Data Historical_Income" xfId="266"/>
    <cellStyle name="A_Rate_Data_Income" xfId="267"/>
    <cellStyle name="A_Rate_Title" xfId="268"/>
    <cellStyle name="A_Rate_Title_Income" xfId="269"/>
    <cellStyle name="A_Simple Title" xfId="270"/>
    <cellStyle name="A_Simple Title_Income" xfId="271"/>
    <cellStyle name="A_Sum" xfId="272"/>
    <cellStyle name="A_SUM_Row Major" xfId="273"/>
    <cellStyle name="A_SUM_Row Major_Income" xfId="274"/>
    <cellStyle name="A_SUM_Row Minor" xfId="275"/>
    <cellStyle name="A_SUM_Row Minor_Income" xfId="276"/>
    <cellStyle name="A_Title" xfId="277"/>
    <cellStyle name="A_Title_Income" xfId="278"/>
    <cellStyle name="A_YearHeadings" xfId="279"/>
    <cellStyle name="A_YearHeadings_Income" xfId="280"/>
    <cellStyle name="Accent1" xfId="281"/>
    <cellStyle name="Accent2" xfId="282"/>
    <cellStyle name="Accent3" xfId="283"/>
    <cellStyle name="Accent4" xfId="284"/>
    <cellStyle name="Accent5" xfId="285"/>
    <cellStyle name="Accent6" xfId="286"/>
    <cellStyle name="Acctg" xfId="287"/>
    <cellStyle name="AFE" xfId="288"/>
    <cellStyle name="ag" xfId="289"/>
    <cellStyle name="Arial 10" xfId="290"/>
    <cellStyle name="Arial 12" xfId="291"/>
    <cellStyle name="ARtext" xfId="292"/>
    <cellStyle name="AutoFormat Options" xfId="293"/>
    <cellStyle name="Bad" xfId="294"/>
    <cellStyle name="Band 1" xfId="295"/>
    <cellStyle name="Band 2" xfId="296"/>
    <cellStyle name="Blue" xfId="297"/>
    <cellStyle name="bluenodec" xfId="298"/>
    <cellStyle name="bluepercent" xfId="299"/>
    <cellStyle name="Body_$Dollars" xfId="300"/>
    <cellStyle name="Bold Italic + Line Top" xfId="301"/>
    <cellStyle name="Bold Text" xfId="302"/>
    <cellStyle name="Bold Text %" xfId="303"/>
    <cellStyle name="Bold Text + Line Top" xfId="304"/>
    <cellStyle name="Bold/Border" xfId="305"/>
    <cellStyle name="Border" xfId="306"/>
    <cellStyle name="British Pound" xfId="307"/>
    <cellStyle name="Bullet" xfId="308"/>
    <cellStyle name="Calculation" xfId="309"/>
    <cellStyle name="Case" xfId="310"/>
    <cellStyle name="Cents" xfId="311"/>
    <cellStyle name="Changeable" xfId="312"/>
    <cellStyle name="Check Cell" xfId="313"/>
    <cellStyle name="Co. Names" xfId="314"/>
    <cellStyle name="Co. Names - Bold" xfId="315"/>
    <cellStyle name="Co. Names_add-on" xfId="316"/>
    <cellStyle name="ColumnHeadings" xfId="317"/>
    <cellStyle name="ColumnHeadings2" xfId="318"/>
    <cellStyle name="comma (1)" xfId="319"/>
    <cellStyle name="Comma ," xfId="320"/>
    <cellStyle name="Comma [1]" xfId="321"/>
    <cellStyle name="Comma 0" xfId="322"/>
    <cellStyle name="Comma 0*" xfId="323"/>
    <cellStyle name="Comma 0_Andrea charts" xfId="324"/>
    <cellStyle name="Comma 2" xfId="325"/>
    <cellStyle name="Comma 2*" xfId="326"/>
    <cellStyle name="Comma 2_book1 Chart 1" xfId="327"/>
    <cellStyle name="Comma 3*" xfId="328"/>
    <cellStyle name="Comma*" xfId="329"/>
    <cellStyle name="Comma_Предварительные расчеты по развитию розницы" xfId="330"/>
    <cellStyle name="Comma0" xfId="331"/>
    <cellStyle name="Comment" xfId="332"/>
    <cellStyle name="CompanyName" xfId="333"/>
    <cellStyle name="Cover Date" xfId="334"/>
    <cellStyle name="Cover Subtitle" xfId="335"/>
    <cellStyle name="Cover Title" xfId="336"/>
    <cellStyle name="Credit" xfId="337"/>
    <cellStyle name="Credit subtotal" xfId="338"/>
    <cellStyle name="Credit Total" xfId="339"/>
    <cellStyle name="Credit_Tickmarks" xfId="340"/>
    <cellStyle name="Currency [1]" xfId="341"/>
    <cellStyle name="Currency [2]" xfId="342"/>
    <cellStyle name="Currency 0" xfId="343"/>
    <cellStyle name="Currency 2" xfId="344"/>
    <cellStyle name="Currency 2*" xfId="345"/>
    <cellStyle name="Currency 2_book1 Chart 1" xfId="346"/>
    <cellStyle name="Currency 3*" xfId="347"/>
    <cellStyle name="Currency*" xfId="348"/>
    <cellStyle name="Currency0" xfId="349"/>
    <cellStyle name="Currency2" xfId="350"/>
    <cellStyle name="Cyrillic" xfId="351"/>
    <cellStyle name="d" xfId="352"/>
    <cellStyle name="Dash" xfId="353"/>
    <cellStyle name="Date" xfId="354"/>
    <cellStyle name="Date Aligned" xfId="355"/>
    <cellStyle name="Date Aligned*" xfId="356"/>
    <cellStyle name="Date Aligned_book1 Chart 1" xfId="357"/>
    <cellStyle name="Date_Book3" xfId="358"/>
    <cellStyle name="Date2" xfId="359"/>
    <cellStyle name="Dateline" xfId="360"/>
    <cellStyle name="Debit" xfId="361"/>
    <cellStyle name="Debit subtotal" xfId="362"/>
    <cellStyle name="Debit Total" xfId="363"/>
    <cellStyle name="Debit_Tickmarks" xfId="364"/>
    <cellStyle name="Decimal" xfId="365"/>
    <cellStyle name="Dezimal . [0]" xfId="366"/>
    <cellStyle name="Dezimal . [1]" xfId="367"/>
    <cellStyle name="Dezimal . [2]" xfId="368"/>
    <cellStyle name="Dezimal [0]_Bilanz" xfId="369"/>
    <cellStyle name="Dezimal__Utopia Index Index und Guidance (Deutsch)" xfId="370"/>
    <cellStyle name="Dollar" xfId="371"/>
    <cellStyle name="Dollars" xfId="372"/>
    <cellStyle name="Dotted Line" xfId="373"/>
    <cellStyle name="Double Accounting" xfId="374"/>
    <cellStyle name="Dummy" xfId="375"/>
    <cellStyle name="E&amp;Y House" xfId="376"/>
    <cellStyle name="ein" xfId="377"/>
    <cellStyle name="Emphasis 1" xfId="378"/>
    <cellStyle name="Emphasis 2" xfId="379"/>
    <cellStyle name="Emphasis 3" xfId="380"/>
    <cellStyle name="Euro" xfId="381"/>
    <cellStyle name="Explanatory Text" xfId="382"/>
    <cellStyle name="F2" xfId="383"/>
    <cellStyle name="F3" xfId="384"/>
    <cellStyle name="F4" xfId="385"/>
    <cellStyle name="F5" xfId="386"/>
    <cellStyle name="F6" xfId="387"/>
    <cellStyle name="F7" xfId="388"/>
    <cellStyle name="F8" xfId="389"/>
    <cellStyle name="FieldName" xfId="390"/>
    <cellStyle name="Fixed" xfId="391"/>
    <cellStyle name="Footer SBILogo1" xfId="392"/>
    <cellStyle name="Footer SBILogo2" xfId="393"/>
    <cellStyle name="Footnote" xfId="394"/>
    <cellStyle name="Footnote Reference" xfId="395"/>
    <cellStyle name="Footnote Style" xfId="396"/>
    <cellStyle name="Footnote_20041222 Bayer MS Financial Projections" xfId="397"/>
    <cellStyle name="Footnotes" xfId="398"/>
    <cellStyle name="Formula" xfId="399"/>
    <cellStyle name="FS_Headings" xfId="400"/>
    <cellStyle name="Good" xfId="401"/>
    <cellStyle name="Grey" xfId="402"/>
    <cellStyle name="hard no" xfId="403"/>
    <cellStyle name="Hard Percent" xfId="404"/>
    <cellStyle name="hardno" xfId="405"/>
    <cellStyle name="Header" xfId="406"/>
    <cellStyle name="Header Draft Stamp" xfId="407"/>
    <cellStyle name="Header_ECU WACC" xfId="408"/>
    <cellStyle name="Header1" xfId="409"/>
    <cellStyle name="Header2" xfId="410"/>
    <cellStyle name="Heading" xfId="411"/>
    <cellStyle name="Heading 1" xfId="412"/>
    <cellStyle name="Heading 1 Above" xfId="413"/>
    <cellStyle name="Heading 1_book1" xfId="414"/>
    <cellStyle name="Heading 1+" xfId="415"/>
    <cellStyle name="Heading 2" xfId="416"/>
    <cellStyle name="Heading 2 Below" xfId="417"/>
    <cellStyle name="Heading 2_book1" xfId="418"/>
    <cellStyle name="Heading 2+" xfId="419"/>
    <cellStyle name="Heading 3" xfId="420"/>
    <cellStyle name="Heading 3+" xfId="421"/>
    <cellStyle name="Heading 4" xfId="422"/>
    <cellStyle name="heading_Arab Light Pricing" xfId="423"/>
    <cellStyle name="Heading1" xfId="424"/>
    <cellStyle name="HeadingB" xfId="425"/>
    <cellStyle name="HeadingBU" xfId="426"/>
    <cellStyle name="HeadingS" xfId="427"/>
    <cellStyle name="Headline2" xfId="428"/>
    <cellStyle name="Headline3" xfId="429"/>
    <cellStyle name="highlight" xfId="430"/>
    <cellStyle name="Hyperlink_Предварительные расчеты по развитию розницы" xfId="431"/>
    <cellStyle name="Iau?iue_130 nnd. are." xfId="432"/>
    <cellStyle name="Îáű÷íűé_ÂÄ ěîëîäí˙ę" xfId="433"/>
    <cellStyle name="Îáû÷íûé_STRDbudget Last Est" xfId="434"/>
    <cellStyle name="IEAData" xfId="435"/>
    <cellStyle name="Input" xfId="436"/>
    <cellStyle name="Input [yellow]" xfId="437"/>
    <cellStyle name="Input_$cell" xfId="438"/>
    <cellStyle name="InputBlueFont" xfId="439"/>
    <cellStyle name="InputCells" xfId="440"/>
    <cellStyle name="InputCurrency" xfId="441"/>
    <cellStyle name="InputCurrency2" xfId="442"/>
    <cellStyle name="InputMultiple1" xfId="443"/>
    <cellStyle name="InputPercent1" xfId="444"/>
    <cellStyle name="Integer" xfId="445"/>
    <cellStyle name="IntInput" xfId="446"/>
    <cellStyle name="IntInputBk" xfId="447"/>
    <cellStyle name="IntInputBu" xfId="448"/>
    <cellStyle name="KPMG Heading 1" xfId="449"/>
    <cellStyle name="KPMG Heading 2" xfId="450"/>
    <cellStyle name="KPMG Heading 3" xfId="451"/>
    <cellStyle name="KPMG Heading 4" xfId="452"/>
    <cellStyle name="KPMG Normal" xfId="453"/>
    <cellStyle name="KPMG Normal Text" xfId="454"/>
    <cellStyle name="Linked Cell" xfId="455"/>
    <cellStyle name="Main Text" xfId="456"/>
    <cellStyle name="Main Text + Line Bot" xfId="457"/>
    <cellStyle name="Main Text + Line Top" xfId="458"/>
    <cellStyle name="MAND_x000d_CHECK.COMMAND_x000e_RENAME.COMMAND_x0008_SHOW.BAR_x000b_DELETE.MENU_x000e_DELETE.COMMAND_x000e_GET.CHA" xfId="459"/>
    <cellStyle name="Milliers_Analyse CA" xfId="460"/>
    <cellStyle name="Millions" xfId="461"/>
    <cellStyle name="MLComma0" xfId="462"/>
    <cellStyle name="MLHeaderSection" xfId="463"/>
    <cellStyle name="MLPercent0" xfId="464"/>
    <cellStyle name="mnb" xfId="465"/>
    <cellStyle name="Monétaire [0]_470" xfId="466"/>
    <cellStyle name="Monétaire_470" xfId="467"/>
    <cellStyle name="MonthYears" xfId="468"/>
    <cellStyle name="MSprotect" xfId="469"/>
    <cellStyle name="Multiple" xfId="470"/>
    <cellStyle name="Multiple [0]" xfId="471"/>
    <cellStyle name="Multiple [1]" xfId="472"/>
    <cellStyle name="Multiple_Copy of Fleet models v123 (TA)" xfId="473"/>
    <cellStyle name="Multiple1" xfId="474"/>
    <cellStyle name="MultipleBelow" xfId="475"/>
    <cellStyle name="n2" xfId="476"/>
    <cellStyle name="Name" xfId="477"/>
    <cellStyle name="Neutral" xfId="478"/>
    <cellStyle name="New Heading" xfId="479"/>
    <cellStyle name="NINA" xfId="480"/>
    <cellStyle name="no dec" xfId="481"/>
    <cellStyle name="No zero - 1dp" xfId="482"/>
    <cellStyle name="No zero - percent" xfId="483"/>
    <cellStyle name="Norma11l" xfId="484"/>
    <cellStyle name="normal" xfId="485"/>
    <cellStyle name="Normal - Style1" xfId="486"/>
    <cellStyle name="Normal." xfId="487"/>
    <cellStyle name="Normal_20 breakdown" xfId="488"/>
    <cellStyle name="Normal2" xfId="489"/>
    <cellStyle name="Normale_Amm AR IT" xfId="490"/>
    <cellStyle name="NormalGB" xfId="491"/>
    <cellStyle name="normalPercent" xfId="492"/>
    <cellStyle name="normбlnм_laroux" xfId="493"/>
    <cellStyle name="Note" xfId="494"/>
    <cellStyle name="Note Number" xfId="495"/>
    <cellStyle name="Notes" xfId="496"/>
    <cellStyle name="number" xfId="497"/>
    <cellStyle name="Number entry" xfId="498"/>
    <cellStyle name="Number entry dec" xfId="499"/>
    <cellStyle name="Number_Strategy Model BANK_October2008 Alfa" xfId="500"/>
    <cellStyle name="Numbers" xfId="501"/>
    <cellStyle name="Numbers - Bold" xfId="502"/>
    <cellStyle name="Numbers - Bold - Italic" xfId="503"/>
    <cellStyle name="Numbers - Bold_Arab Light Pricing" xfId="504"/>
    <cellStyle name="Numbers - Large" xfId="505"/>
    <cellStyle name="Numbers_Book3" xfId="506"/>
    <cellStyle name="Nun??c [0]_DD.1" xfId="507"/>
    <cellStyle name="Nun??c_DD.1" xfId="508"/>
    <cellStyle name="Ňűń˙÷č [0]_ĎĐ.1" xfId="509"/>
    <cellStyle name="Ňűń˙÷č_ĎĐ.1" xfId="510"/>
    <cellStyle name="Ociriniaue [0]_Adrocec" xfId="511"/>
    <cellStyle name="Ôčíŕíńîâűé [0]_Ăđŕôčęč" xfId="512"/>
    <cellStyle name="Ociriniaue [0]_Adrocec 2" xfId="1065"/>
    <cellStyle name="Ôčíŕíńîâűé [0]_Ăđŕôčęč 2" xfId="1066"/>
    <cellStyle name="Ociriniaue [0]_Ddceiclicl 1.2" xfId="513"/>
    <cellStyle name="Ôčíŕíńîâűé [0]_Ďđčëîćĺíčĺ 1.2" xfId="514"/>
    <cellStyle name="Ociriniaue [0]_Ddceiclicl 1.2 (2)" xfId="515"/>
    <cellStyle name="Ôčíŕíńîâűé [0]_Ďđčëîćĺíčĺ 1.2 (2)" xfId="516"/>
    <cellStyle name="Ociriniaue [0]_Ddceiclicl 1.2 (2) 2" xfId="1067"/>
    <cellStyle name="Ôčíŕíńîâűé [0]_Ďđčëîćĺíčĺ 1.2 (2) 2" xfId="1068"/>
    <cellStyle name="Ociriniaue [0]_Ddceiclicl 1.2 2" xfId="517"/>
    <cellStyle name="Ôčíŕíńîâűé [0]_Ďđčëîćĺíčĺ 1.2 2" xfId="518"/>
    <cellStyle name="Ociriniaue [0]_Ddceiclicl 1.2 3" xfId="519"/>
    <cellStyle name="Ôčíŕíńîâűé [0]_Ďđčëîćĺíčĺ 1.2 3" xfId="520"/>
    <cellStyle name="Ociriniaue [0]_Ddceiclicl 1.2 4" xfId="521"/>
    <cellStyle name="Ôčíŕíńîâűé [0]_Ďđčëîćĺíčĺ 1.2 4" xfId="522"/>
    <cellStyle name="Ociriniaue [0]_Ddceiclicl 1.2 5" xfId="523"/>
    <cellStyle name="Ôčíŕíńîâűé [0]_Ďđčëîćĺíčĺ 1.2 5" xfId="524"/>
    <cellStyle name="Ociriniaue [0]_Ddceiclicl 1.2 6" xfId="525"/>
    <cellStyle name="Ôčíŕíńîâűé [0]_Ďđčëîćĺíčĺ 1.2 6" xfId="526"/>
    <cellStyle name="Ociriniaue [0]_Ddceiclicl 1.2 7" xfId="527"/>
    <cellStyle name="Ôčíŕíńîâűé [0]_Ďđčëîćĺíčĺ 1.2 7" xfId="528"/>
    <cellStyle name="Ociriniaue [0]_Ddceiclicl 1.2 8" xfId="529"/>
    <cellStyle name="Ôčíŕíńîâűé [0]_Ďđčëîćĺíčĺ 1.2 8" xfId="530"/>
    <cellStyle name="Ociriniaue [0]_Ddceiclicl 1.2 9" xfId="531"/>
    <cellStyle name="Ôčíŕíńîâűé [0]_Ďđčëîćĺíčĺ 1.2 9" xfId="532"/>
    <cellStyle name="Ociriniaue [0]_Ecnn1" xfId="533"/>
    <cellStyle name="Ôčíŕíńîâűé [0]_Ëčńň1" xfId="534"/>
    <cellStyle name="Ociriniaue [0]_Ecnn1 2" xfId="1069"/>
    <cellStyle name="Ôčíŕíńîâűé [0]_Ëčńň1 2" xfId="1070"/>
    <cellStyle name="Ociriniaue [0]_Rirecc " xfId="535"/>
    <cellStyle name="Ôčíŕíńîâűé [0]_Ŕíŕëčç " xfId="536"/>
    <cellStyle name="Ociriniaue [0]_Rirecc  &quot;Ec?odcir&quot;" xfId="537"/>
    <cellStyle name="Ôčíŕíńîâűé [0]_Ŕíŕëčç  &quot;Ěč÷óđčíŕ&quot;" xfId="538"/>
    <cellStyle name="Ociriniaue [0]_Rirecc  2" xfId="1071"/>
    <cellStyle name="Ôčíŕíńîâűé [0]_Ŕíŕëčç  2" xfId="1072"/>
    <cellStyle name="Ociriniaue [0]_XAXAL" xfId="539"/>
    <cellStyle name="Ôčíŕíńîâűé [0]_XAXAL" xfId="540"/>
    <cellStyle name="Ociriniaue [0]_XAXAL 2" xfId="1073"/>
    <cellStyle name="Ôčíŕíńîâűé [0]_XAXAL 2" xfId="1074"/>
    <cellStyle name="Ociriniaue_Adrocec" xfId="541"/>
    <cellStyle name="Ôčíŕíńîâűé_Ăđŕôčęč" xfId="542"/>
    <cellStyle name="Ociriniaue_Adrocec 2" xfId="1075"/>
    <cellStyle name="Ôčíŕíńîâűé_Ăđŕôčęč 2" xfId="1076"/>
    <cellStyle name="Ociriniaue_Ddceiclicl 1.2" xfId="543"/>
    <cellStyle name="Ôčíŕíńîâűé_Ďđčëîćĺíčĺ 1.2" xfId="544"/>
    <cellStyle name="Ociriniaue_Ddceiclicl 1.2 (2)" xfId="545"/>
    <cellStyle name="Ôčíŕíńîâűé_Ďđčëîćĺíčĺ 1.2 (2)" xfId="546"/>
    <cellStyle name="Ociriniaue_Ddceiclicl 1.2 (2) 2" xfId="1077"/>
    <cellStyle name="Ôčíŕíńîâűé_Ďđčëîćĺíčĺ 1.2 (2) 2" xfId="1078"/>
    <cellStyle name="Ociriniaue_Ddceiclicl 1.2 2" xfId="547"/>
    <cellStyle name="Ôčíŕíńîâűé_Ďđčëîćĺíčĺ 1.2 2" xfId="548"/>
    <cellStyle name="Ociriniaue_Ddceiclicl 1.2 3" xfId="549"/>
    <cellStyle name="Ôčíŕíńîâűé_Ďđčëîćĺíčĺ 1.2 3" xfId="550"/>
    <cellStyle name="Ociriniaue_Ddceiclicl 1.2 4" xfId="551"/>
    <cellStyle name="Ôčíŕíńîâűé_Ďđčëîćĺíčĺ 1.2 4" xfId="552"/>
    <cellStyle name="Ociriniaue_Ddceiclicl 1.2 5" xfId="553"/>
    <cellStyle name="Ôčíŕíńîâűé_Ďđčëîćĺíčĺ 1.2 5" xfId="554"/>
    <cellStyle name="Ociriniaue_Ddceiclicl 1.2 6" xfId="555"/>
    <cellStyle name="Ôčíŕíńîâűé_Ďđčëîćĺíčĺ 1.2 6" xfId="556"/>
    <cellStyle name="Ociriniaue_Ddceiclicl 1.2 7" xfId="557"/>
    <cellStyle name="Ôčíŕíńîâűé_Ďđčëîćĺíčĺ 1.2 7" xfId="558"/>
    <cellStyle name="Ociriniaue_Ddceiclicl 1.2 8" xfId="559"/>
    <cellStyle name="Ôčíŕíńîâűé_Ďđčëîćĺíčĺ 1.2 8" xfId="560"/>
    <cellStyle name="Ociriniaue_Ddceiclicl 1.2 9" xfId="561"/>
    <cellStyle name="Ôčíŕíńîâűé_Ďđčëîćĺíčĺ 1.2 9" xfId="562"/>
    <cellStyle name="Ociriniaue_Ecnn1" xfId="563"/>
    <cellStyle name="Ôčíŕíńîâűé_Ëčńň1" xfId="564"/>
    <cellStyle name="Ociriniaue_Ecnn1 2" xfId="1079"/>
    <cellStyle name="Ôčíŕíńîâűé_Ëčńň1 2" xfId="1080"/>
    <cellStyle name="Ociriniaue_Rirecc " xfId="565"/>
    <cellStyle name="Ôčíŕíńîâűé_Ŕíŕëčç " xfId="566"/>
    <cellStyle name="Ociriniaue_Rirecc  &quot;Ec?odcir&quot;" xfId="567"/>
    <cellStyle name="Ôčíŕíńîâűé_Ŕíŕëčç  &quot;Ěč÷óđčíŕ&quot;" xfId="568"/>
    <cellStyle name="Ociriniaue_Rirecc  2" xfId="1081"/>
    <cellStyle name="Ôčíŕíńîâűé_Ŕíŕëčç  2" xfId="1082"/>
    <cellStyle name="Ociriniaue_XAXAL" xfId="569"/>
    <cellStyle name="Ôčíŕíńîâűé_XAXAL" xfId="570"/>
    <cellStyle name="Ociriniaue_XAXAL 2" xfId="1083"/>
    <cellStyle name="Ôčíŕíńîâűé_XAXAL 2" xfId="1084"/>
    <cellStyle name="Œ…‹æØ‚è [0.00]_GE 3 MINIMUM" xfId="571"/>
    <cellStyle name="Œ…‹æØ‚è_GE 3 MINIMUM" xfId="572"/>
    <cellStyle name="onedec" xfId="573"/>
    <cellStyle name="outh America" xfId="574"/>
    <cellStyle name="Output" xfId="575"/>
    <cellStyle name="Page Heading" xfId="576"/>
    <cellStyle name="Page Number" xfId="577"/>
    <cellStyle name="Percent (1)" xfId="578"/>
    <cellStyle name="Percent [0]" xfId="579"/>
    <cellStyle name="Percent [1]" xfId="580"/>
    <cellStyle name="Percent [2]" xfId="581"/>
    <cellStyle name="Percent*" xfId="582"/>
    <cellStyle name="Percent1" xfId="583"/>
    <cellStyle name="Percentage" xfId="584"/>
    <cellStyle name="piw#" xfId="585"/>
    <cellStyle name="Price" xfId="586"/>
    <cellStyle name="Problem" xfId="587"/>
    <cellStyle name="prochrek" xfId="588"/>
    <cellStyle name="ProjectionInput" xfId="589"/>
    <cellStyle name="Protected" xfId="590"/>
    <cellStyle name="ProtectedDates" xfId="591"/>
    <cellStyle name="PSChar" xfId="592"/>
    <cellStyle name="PSHeading" xfId="593"/>
    <cellStyle name="r" xfId="594"/>
    <cellStyle name="r_Arab Light Pricing" xfId="595"/>
    <cellStyle name="r_Book3" xfId="596"/>
    <cellStyle name="r_DCF_EBITDA" xfId="597"/>
    <cellStyle name="r_DCF_EBITDA_Arab Light Pricing" xfId="598"/>
    <cellStyle name="r_DCF_EBITDA_Book3" xfId="599"/>
    <cellStyle name="r_DCF_EBITDA_Copy of Rosneft_Standalone_v23 (TA)" xfId="600"/>
    <cellStyle name="r_DCF_EBITDA_Historical Financials" xfId="601"/>
    <cellStyle name="r_DCF_EBITDA_JPetro Refinery v37 draft" xfId="602"/>
    <cellStyle name="r_DCF_EBITDA_JPetro Refinery v37 draft_Recovered" xfId="603"/>
    <cellStyle name="r_DCF_EBITDA_KazMunaiTeniz v58" xfId="604"/>
    <cellStyle name="r_DCF_EBITDA_KazMunaiTeniz v58_Arab Light Pricing" xfId="605"/>
    <cellStyle name="r_DCF_EBITDA_KazMunaiTeniz v58_Book3" xfId="606"/>
    <cellStyle name="r_DCF_EBITDA_PPL v35" xfId="607"/>
    <cellStyle name="r_DCF_EBITDA_Premier corporate model v43 MS" xfId="608"/>
    <cellStyle name="r_DCF_EBITDA_Premier corporate model v94" xfId="609"/>
    <cellStyle name="r_DCF_EBITDA_Project Tchaikovsky v24" xfId="610"/>
    <cellStyle name="r_DCF_EBITDA_Russian asset model v12" xfId="611"/>
    <cellStyle name="r_DCF_PERPETUITY" xfId="612"/>
    <cellStyle name="r_DCF_PERPETUITY_Arab Light Pricing" xfId="613"/>
    <cellStyle name="r_DCF_PERPETUITY_Book3" xfId="614"/>
    <cellStyle name="r_DCF_PERPETUITY_Copy of Rosneft_Standalone_v23 (TA)" xfId="615"/>
    <cellStyle name="r_DCF_PERPETUITY_Historical Financials" xfId="616"/>
    <cellStyle name="r_DCF_PERPETUITY_JPetro Refinery v37 draft" xfId="617"/>
    <cellStyle name="r_DCF_PERPETUITY_JPetro Refinery v37 draft_Recovered" xfId="618"/>
    <cellStyle name="r_DCF_PERPETUITY_KazMunaiTeniz v58" xfId="619"/>
    <cellStyle name="r_DCF_PERPETUITY_KazMunaiTeniz v58_Arab Light Pricing" xfId="620"/>
    <cellStyle name="r_DCF_PERPETUITY_KazMunaiTeniz v58_Book3" xfId="621"/>
    <cellStyle name="r_DCF_PERPETUITY_PPL v35" xfId="622"/>
    <cellStyle name="r_DCF_PERPETUITY_Premier corporate model v43 MS" xfId="623"/>
    <cellStyle name="r_DCF_PERPETUITY_Premier corporate model v94" xfId="624"/>
    <cellStyle name="r_DCF_PERPETUITY_Project Tchaikovsky v24" xfId="625"/>
    <cellStyle name="r_DCF_PERPETUITY_Russian asset model v12" xfId="626"/>
    <cellStyle name="r_Division" xfId="627"/>
    <cellStyle name="r_Division_Arab Light Pricing" xfId="628"/>
    <cellStyle name="r_Division_Book3" xfId="629"/>
    <cellStyle name="r_Division_Copy of Rosneft_Standalone_v23 (TA)" xfId="630"/>
    <cellStyle name="r_Division_EBIT" xfId="631"/>
    <cellStyle name="r_Division_EBIT_Arab Light Pricing" xfId="632"/>
    <cellStyle name="r_Division_EBIT_Book3" xfId="633"/>
    <cellStyle name="r_Division_EBIT_Copy of Rosneft_Standalone_v23 (TA)" xfId="634"/>
    <cellStyle name="r_Division_EBIT_Historical Financials" xfId="635"/>
    <cellStyle name="r_Division_EBIT_JPetro Refinery v37 draft" xfId="636"/>
    <cellStyle name="r_Division_EBIT_JPetro Refinery v37 draft_Recovered" xfId="637"/>
    <cellStyle name="r_Division_EBIT_KazMunaiTeniz v58" xfId="638"/>
    <cellStyle name="r_Division_EBIT_KazMunaiTeniz v58_Arab Light Pricing" xfId="639"/>
    <cellStyle name="r_Division_EBIT_KazMunaiTeniz v58_Book3" xfId="640"/>
    <cellStyle name="r_Division_EBIT_PPL v35" xfId="641"/>
    <cellStyle name="r_Division_EBIT_Premier corporate model v43 MS" xfId="642"/>
    <cellStyle name="r_Division_EBIT_Premier corporate model v94" xfId="643"/>
    <cellStyle name="r_Division_EBIT_Project Tchaikovsky v24" xfId="644"/>
    <cellStyle name="r_Division_EBIT_Russian asset model v12" xfId="645"/>
    <cellStyle name="r_Division_Historical Financials" xfId="646"/>
    <cellStyle name="r_Division_JPetro Refinery v37 draft" xfId="647"/>
    <cellStyle name="r_Division_JPetro Refinery v37 draft_Recovered" xfId="648"/>
    <cellStyle name="r_Division_KazMunaiTeniz v58" xfId="649"/>
    <cellStyle name="r_Division_KazMunaiTeniz v58_Arab Light Pricing" xfId="650"/>
    <cellStyle name="r_Division_KazMunaiTeniz v58_Book3" xfId="651"/>
    <cellStyle name="r_Division_PPL v35" xfId="652"/>
    <cellStyle name="r_Division_Premier corporate model v43 MS" xfId="653"/>
    <cellStyle name="r_Division_Premier corporate model v94" xfId="654"/>
    <cellStyle name="r_Division_Project Tchaikovsky v24" xfId="655"/>
    <cellStyle name="r_Division_Russian asset model v12" xfId="656"/>
    <cellStyle name="r_Division_Sales" xfId="657"/>
    <cellStyle name="r_Division_Sales_Arab Light Pricing" xfId="658"/>
    <cellStyle name="r_Division_Sales_Book3" xfId="659"/>
    <cellStyle name="r_Division_Sales_Copy of Rosneft_Standalone_v23 (TA)" xfId="660"/>
    <cellStyle name="r_Division_Sales_Historical Financials" xfId="661"/>
    <cellStyle name="r_Division_Sales_JPetro Refinery v37 draft" xfId="662"/>
    <cellStyle name="r_Division_Sales_JPetro Refinery v37 draft_Recovered" xfId="663"/>
    <cellStyle name="r_Division_Sales_KazMunaiTeniz v58" xfId="664"/>
    <cellStyle name="r_Division_Sales_KazMunaiTeniz v58_Arab Light Pricing" xfId="665"/>
    <cellStyle name="r_Division_Sales_KazMunaiTeniz v58_Book3" xfId="666"/>
    <cellStyle name="r_Division_Sales_PPL v35" xfId="667"/>
    <cellStyle name="r_Division_Sales_Premier corporate model v43 MS" xfId="668"/>
    <cellStyle name="r_Division_Sales_Premier corporate model v94" xfId="669"/>
    <cellStyle name="r_Division_Sales_Project Tchaikovsky v24" xfId="670"/>
    <cellStyle name="r_Division_Sales_Russian asset model v12" xfId="671"/>
    <cellStyle name="r_Historical Financials" xfId="672"/>
    <cellStyle name="r_PPL v35" xfId="673"/>
    <cellStyle name="r_Premier corporate model v43 MS" xfId="674"/>
    <cellStyle name="r_Premier corporate model v94" xfId="675"/>
    <cellStyle name="r_Project Tchaikovsky v24" xfId="676"/>
    <cellStyle name="r_PUBMKT" xfId="677"/>
    <cellStyle name="r_PUBMKT_Arab Light Pricing" xfId="678"/>
    <cellStyle name="r_PUBMKT_Book3" xfId="679"/>
    <cellStyle name="r_PUBMKT_Copy of Rosneft_Standalone_v23 (TA)" xfId="680"/>
    <cellStyle name="r_PUBMKT_Historical Financials" xfId="681"/>
    <cellStyle name="r_PUBMKT_JPetro Refinery v37 draft" xfId="682"/>
    <cellStyle name="r_PUBMKT_JPetro Refinery v37 draft_Recovered" xfId="683"/>
    <cellStyle name="r_PUBMKT_KazMunaiTeniz v58" xfId="684"/>
    <cellStyle name="r_PUBMKT_KazMunaiTeniz v58_Arab Light Pricing" xfId="685"/>
    <cellStyle name="r_PUBMKT_KazMunaiTeniz v58_Book3" xfId="686"/>
    <cellStyle name="r_PUBMKT_PPL v35" xfId="687"/>
    <cellStyle name="r_PUBMKT_Premier corporate model v43 MS" xfId="688"/>
    <cellStyle name="r_PUBMKT_Premier corporate model v94" xfId="689"/>
    <cellStyle name="r_PUBMKT_Project Tchaikovsky v24" xfId="690"/>
    <cellStyle name="r_PUBMKT_Russian asset model v12" xfId="691"/>
    <cellStyle name="r_Russian asset model v12" xfId="692"/>
    <cellStyle name="r_Synergy" xfId="693"/>
    <cellStyle name="r_Synergy_Arab Light Pricing" xfId="694"/>
    <cellStyle name="r_Synergy_Book3" xfId="695"/>
    <cellStyle name="r_Synergy_Copy of Rosneft_Standalone_v23 (TA)" xfId="696"/>
    <cellStyle name="r_Synergy_DCF_EBITDA" xfId="697"/>
    <cellStyle name="r_Synergy_DCF_EBITDA_Arab Light Pricing" xfId="698"/>
    <cellStyle name="r_Synergy_DCF_EBITDA_Book3" xfId="699"/>
    <cellStyle name="r_Synergy_DCF_EBITDA_Historical Financials" xfId="700"/>
    <cellStyle name="r_Synergy_DCF_EBITDA_PPL v35" xfId="701"/>
    <cellStyle name="r_Synergy_DCF_EBITDA_Premier corporate model v43 MS" xfId="702"/>
    <cellStyle name="r_Synergy_DCF_EBITDA_Premier corporate model v94" xfId="703"/>
    <cellStyle name="r_Synergy_DCF_EBITDA_Project Tchaikovsky v24" xfId="704"/>
    <cellStyle name="r_Synergy_DCF_EBITDA_Russian asset model v12" xfId="705"/>
    <cellStyle name="r_Synergy_DCF_PERPETUITY" xfId="706"/>
    <cellStyle name="r_Synergy_DCF_PERPETUITY_Arab Light Pricing" xfId="707"/>
    <cellStyle name="r_Synergy_DCF_PERPETUITY_Book3" xfId="708"/>
    <cellStyle name="r_Synergy_DCF_PERPETUITY_Historical Financials" xfId="709"/>
    <cellStyle name="r_Synergy_DCF_PERPETUITY_PPL v35" xfId="710"/>
    <cellStyle name="r_Synergy_DCF_PERPETUITY_Premier corporate model v43 MS" xfId="711"/>
    <cellStyle name="r_Synergy_DCF_PERPETUITY_Premier corporate model v94" xfId="712"/>
    <cellStyle name="r_Synergy_DCF_PERPETUITY_Project Tchaikovsky v24" xfId="713"/>
    <cellStyle name="r_Synergy_DCF_PERPETUITY_Russian asset model v12" xfId="714"/>
    <cellStyle name="r_Synergy_Division_EBIT" xfId="715"/>
    <cellStyle name="r_Synergy_Division_EBIT_Arab Light Pricing" xfId="716"/>
    <cellStyle name="r_Synergy_Division_EBIT_Book3" xfId="717"/>
    <cellStyle name="r_Synergy_Division_EBIT_Historical Financials" xfId="718"/>
    <cellStyle name="r_Synergy_Division_EBIT_PPL v35" xfId="719"/>
    <cellStyle name="r_Synergy_Division_EBIT_Premier corporate model v43 MS" xfId="720"/>
    <cellStyle name="r_Synergy_Division_EBIT_Premier corporate model v94" xfId="721"/>
    <cellStyle name="r_Synergy_Division_EBIT_Project Tchaikovsky v24" xfId="722"/>
    <cellStyle name="r_Synergy_Division_EBIT_Russian asset model v12" xfId="723"/>
    <cellStyle name="r_Synergy_Division_Sales" xfId="724"/>
    <cellStyle name="r_Synergy_Division_Sales_Arab Light Pricing" xfId="725"/>
    <cellStyle name="r_Synergy_Division_Sales_Book3" xfId="726"/>
    <cellStyle name="r_Synergy_Division_Sales_Historical Financials" xfId="727"/>
    <cellStyle name="r_Synergy_Division_Sales_PPL v35" xfId="728"/>
    <cellStyle name="r_Synergy_Division_Sales_Premier corporate model v43 MS" xfId="729"/>
    <cellStyle name="r_Synergy_Division_Sales_Premier corporate model v94" xfId="730"/>
    <cellStyle name="r_Synergy_Division_Sales_Project Tchaikovsky v24" xfId="731"/>
    <cellStyle name="r_Synergy_Division_Sales_Russian asset model v12" xfId="732"/>
    <cellStyle name="r_Synergy_Historical Financials" xfId="733"/>
    <cellStyle name="r_Synergy_JPetro Refinery v37 draft" xfId="734"/>
    <cellStyle name="r_Synergy_JPetro Refinery v37 draft_Recovered" xfId="735"/>
    <cellStyle name="r_Synergy_KazMunaiTeniz v58" xfId="736"/>
    <cellStyle name="r_Synergy_KazMunaiTeniz v58_Arab Light Pricing" xfId="737"/>
    <cellStyle name="r_Synergy_KazMunaiTeniz v58_Book3" xfId="738"/>
    <cellStyle name="r_Synergy_PPL v35" xfId="739"/>
    <cellStyle name="r_Synergy_Premier corporate model v43 MS" xfId="740"/>
    <cellStyle name="r_Synergy_Premier corporate model v94" xfId="741"/>
    <cellStyle name="r_Synergy_Project Tchaikovsky v24" xfId="742"/>
    <cellStyle name="r_Synergy_Russian asset model v12" xfId="743"/>
    <cellStyle name="r_Synergy_Tecnol_Matrix" xfId="744"/>
    <cellStyle name="r_Synergy_Tecnol_Matrix_Arab Light Pricing" xfId="745"/>
    <cellStyle name="r_Synergy_Tecnol_Matrix_Book3" xfId="746"/>
    <cellStyle name="r_Synergy_Tecnol_Matrix_Historical Financials" xfId="747"/>
    <cellStyle name="r_Synergy_Tecnol_Matrix_PPL v35" xfId="748"/>
    <cellStyle name="r_Synergy_Tecnol_Matrix_Premier corporate model v43 MS" xfId="749"/>
    <cellStyle name="r_Synergy_Tecnol_Matrix_Premier corporate model v94" xfId="750"/>
    <cellStyle name="r_Synergy_Tecnol_Matrix_Project Tchaikovsky v24" xfId="751"/>
    <cellStyle name="r_Synergy_Tecnol_Matrix_Russian asset model v12" xfId="752"/>
    <cellStyle name="r_Tecnol_Matrix" xfId="753"/>
    <cellStyle name="r_Tecnol_Matrix_Arab Light Pricing" xfId="754"/>
    <cellStyle name="r_Tecnol_Matrix_Book3" xfId="755"/>
    <cellStyle name="r_Tecnol_Matrix_Copy of Rosneft_Standalone_v23 (TA)" xfId="756"/>
    <cellStyle name="r_Tecnol_Matrix_Historical Financials" xfId="757"/>
    <cellStyle name="r_Tecnol_Matrix_JPetro Refinery v37 draft" xfId="758"/>
    <cellStyle name="r_Tecnol_Matrix_JPetro Refinery v37 draft_Recovered" xfId="759"/>
    <cellStyle name="r_Tecnol_Matrix_KazMunaiTeniz v58" xfId="760"/>
    <cellStyle name="r_Tecnol_Matrix_KazMunaiTeniz v58_Arab Light Pricing" xfId="761"/>
    <cellStyle name="r_Tecnol_Matrix_KazMunaiTeniz v58_Book3" xfId="762"/>
    <cellStyle name="r_Tecnol_Matrix_PPL v35" xfId="763"/>
    <cellStyle name="r_Tecnol_Matrix_Premier corporate model v43 MS" xfId="764"/>
    <cellStyle name="r_Tecnol_Matrix_Premier corporate model v94" xfId="765"/>
    <cellStyle name="r_Tecnol_Matrix_Project Tchaikovsky v24" xfId="766"/>
    <cellStyle name="r_Tecnol_Matrix_Russian asset model v12" xfId="767"/>
    <cellStyle name="ratio" xfId="768"/>
    <cellStyle name="Salomon Logo" xfId="769"/>
    <cellStyle name="Serguei" xfId="770"/>
    <cellStyle name="Shade" xfId="771"/>
    <cellStyle name="Sheet Title" xfId="772"/>
    <cellStyle name="Single Accounting" xfId="773"/>
    <cellStyle name="small" xfId="774"/>
    <cellStyle name="Standard" xfId="775"/>
    <cellStyle name="Style 100" xfId="776"/>
    <cellStyle name="Style 101" xfId="777"/>
    <cellStyle name="Style 102" xfId="778"/>
    <cellStyle name="Style 103" xfId="779"/>
    <cellStyle name="Style 104" xfId="780"/>
    <cellStyle name="Style 105" xfId="781"/>
    <cellStyle name="Style 106" xfId="782"/>
    <cellStyle name="Style 107" xfId="783"/>
    <cellStyle name="Style 108" xfId="784"/>
    <cellStyle name="Style 109" xfId="785"/>
    <cellStyle name="Style 110" xfId="786"/>
    <cellStyle name="Style 111" xfId="787"/>
    <cellStyle name="Style 112" xfId="788"/>
    <cellStyle name="Style 113" xfId="789"/>
    <cellStyle name="Style 114" xfId="790"/>
    <cellStyle name="Style 115" xfId="791"/>
    <cellStyle name="Style 116" xfId="792"/>
    <cellStyle name="Style 117" xfId="793"/>
    <cellStyle name="Style 118" xfId="794"/>
    <cellStyle name="Style 119" xfId="795"/>
    <cellStyle name="Style 120" xfId="796"/>
    <cellStyle name="Style 121" xfId="797"/>
    <cellStyle name="Style 122" xfId="798"/>
    <cellStyle name="Style 123" xfId="799"/>
    <cellStyle name="Style 124" xfId="800"/>
    <cellStyle name="Style 125" xfId="801"/>
    <cellStyle name="Style 126" xfId="802"/>
    <cellStyle name="Style 127" xfId="803"/>
    <cellStyle name="Style 128" xfId="804"/>
    <cellStyle name="Style 129" xfId="805"/>
    <cellStyle name="Style 130" xfId="806"/>
    <cellStyle name="Style 131" xfId="807"/>
    <cellStyle name="Style 132" xfId="808"/>
    <cellStyle name="Style 133" xfId="809"/>
    <cellStyle name="Style 134" xfId="810"/>
    <cellStyle name="Style 135" xfId="811"/>
    <cellStyle name="Style 136" xfId="812"/>
    <cellStyle name="Style 137" xfId="813"/>
    <cellStyle name="Style 138" xfId="814"/>
    <cellStyle name="Style 139" xfId="815"/>
    <cellStyle name="Style 140" xfId="816"/>
    <cellStyle name="Style 141" xfId="817"/>
    <cellStyle name="Style 142" xfId="818"/>
    <cellStyle name="Style 143" xfId="819"/>
    <cellStyle name="Style 144" xfId="820"/>
    <cellStyle name="Style 145" xfId="821"/>
    <cellStyle name="Style 146" xfId="822"/>
    <cellStyle name="Style 147" xfId="823"/>
    <cellStyle name="Style 148" xfId="824"/>
    <cellStyle name="Style 149" xfId="825"/>
    <cellStyle name="Style 150" xfId="826"/>
    <cellStyle name="Style 151" xfId="827"/>
    <cellStyle name="Style 152" xfId="828"/>
    <cellStyle name="Style 153" xfId="829"/>
    <cellStyle name="Style 154" xfId="830"/>
    <cellStyle name="Style 155" xfId="831"/>
    <cellStyle name="Style 156" xfId="832"/>
    <cellStyle name="Style 157" xfId="833"/>
    <cellStyle name="Style 158" xfId="834"/>
    <cellStyle name="Style 159" xfId="835"/>
    <cellStyle name="Style 160" xfId="836"/>
    <cellStyle name="Style 161" xfId="837"/>
    <cellStyle name="Style 162" xfId="838"/>
    <cellStyle name="Style 164" xfId="839"/>
    <cellStyle name="Style 166" xfId="840"/>
    <cellStyle name="Style 168" xfId="841"/>
    <cellStyle name="Style 170" xfId="842"/>
    <cellStyle name="Style 172" xfId="843"/>
    <cellStyle name="Style 174" xfId="844"/>
    <cellStyle name="Style 176" xfId="845"/>
    <cellStyle name="Style 21" xfId="846"/>
    <cellStyle name="Style 22" xfId="847"/>
    <cellStyle name="Style 23" xfId="848"/>
    <cellStyle name="Style 24" xfId="849"/>
    <cellStyle name="Style 25" xfId="850"/>
    <cellStyle name="Style 26" xfId="851"/>
    <cellStyle name="Style 27" xfId="852"/>
    <cellStyle name="Style 28" xfId="853"/>
    <cellStyle name="Style 29" xfId="854"/>
    <cellStyle name="Style 30" xfId="855"/>
    <cellStyle name="Style 31" xfId="856"/>
    <cellStyle name="Style 35" xfId="857"/>
    <cellStyle name="Style 36" xfId="858"/>
    <cellStyle name="Style 41" xfId="859"/>
    <cellStyle name="Style 42" xfId="860"/>
    <cellStyle name="Style 43" xfId="861"/>
    <cellStyle name="Style 44" xfId="862"/>
    <cellStyle name="Style 45" xfId="863"/>
    <cellStyle name="Style 46" xfId="864"/>
    <cellStyle name="Style 47" xfId="865"/>
    <cellStyle name="Style 48" xfId="866"/>
    <cellStyle name="Style 49" xfId="867"/>
    <cellStyle name="Style 50" xfId="868"/>
    <cellStyle name="Style 56" xfId="869"/>
    <cellStyle name="Style 58" xfId="870"/>
    <cellStyle name="Style 60" xfId="871"/>
    <cellStyle name="Style 62" xfId="872"/>
    <cellStyle name="Style 63" xfId="873"/>
    <cellStyle name="Style 64" xfId="874"/>
    <cellStyle name="Style 65" xfId="875"/>
    <cellStyle name="Style 66" xfId="876"/>
    <cellStyle name="Style 67" xfId="877"/>
    <cellStyle name="Style 68" xfId="878"/>
    <cellStyle name="Style 69" xfId="879"/>
    <cellStyle name="Style 70" xfId="880"/>
    <cellStyle name="Style 71" xfId="881"/>
    <cellStyle name="Style 72" xfId="882"/>
    <cellStyle name="Style 73" xfId="883"/>
    <cellStyle name="Style 74" xfId="884"/>
    <cellStyle name="Style 82" xfId="885"/>
    <cellStyle name="Style 83" xfId="886"/>
    <cellStyle name="Style 84" xfId="887"/>
    <cellStyle name="Style 85" xfId="888"/>
    <cellStyle name="Style 86" xfId="889"/>
    <cellStyle name="Style 87" xfId="890"/>
    <cellStyle name="Style 88" xfId="891"/>
    <cellStyle name="Style 89" xfId="892"/>
    <cellStyle name="Style 90" xfId="893"/>
    <cellStyle name="Style 91" xfId="894"/>
    <cellStyle name="Style 92" xfId="895"/>
    <cellStyle name="Style 93" xfId="896"/>
    <cellStyle name="Style 94" xfId="897"/>
    <cellStyle name="Style 95" xfId="898"/>
    <cellStyle name="Style 96" xfId="899"/>
    <cellStyle name="Style 97" xfId="900"/>
    <cellStyle name="Style 98" xfId="901"/>
    <cellStyle name="Style 99" xfId="902"/>
    <cellStyle name="STYLE1 - Style1" xfId="903"/>
    <cellStyle name="STYLE2 - Style2" xfId="904"/>
    <cellStyle name="STYLE3 - Style3" xfId="905"/>
    <cellStyle name="STYLE4 - Style4" xfId="906"/>
    <cellStyle name="SubHeading" xfId="907"/>
    <cellStyle name="SubHeading1" xfId="908"/>
    <cellStyle name="SubSection" xfId="909"/>
    <cellStyle name="SubTitle 2" xfId="910"/>
    <cellStyle name="SubTotal" xfId="911"/>
    <cellStyle name="Summe" xfId="912"/>
    <cellStyle name="t" xfId="913"/>
    <cellStyle name="t_Arab Light Pricing" xfId="914"/>
    <cellStyle name="t_Badin_v2" xfId="915"/>
    <cellStyle name="t_book1" xfId="916"/>
    <cellStyle name="t_Encana_v8" xfId="917"/>
    <cellStyle name="t_Gazprom_Standalone_v103_ta" xfId="918"/>
    <cellStyle name="t_Kaviar Model_June05 v44" xfId="919"/>
    <cellStyle name="t_Kaviar Model_June05 v47" xfId="920"/>
    <cellStyle name="t_Kaviar Model_June05 v75_reconcile" xfId="921"/>
    <cellStyle name="t_Kaviar Model_June05 v76_reconcile" xfId="922"/>
    <cellStyle name="t_Pakistan Upstream Models_v3" xfId="923"/>
    <cellStyle name="t_PPL v35" xfId="924"/>
    <cellStyle name="t_Project Ozone_April 14 v7" xfId="925"/>
    <cellStyle name="Table Head" xfId="926"/>
    <cellStyle name="Table Head Aligned" xfId="927"/>
    <cellStyle name="Table Head Blue" xfId="928"/>
    <cellStyle name="Table Head Green" xfId="929"/>
    <cellStyle name="Table Head_ECU WACC" xfId="930"/>
    <cellStyle name="Table Heading" xfId="931"/>
    <cellStyle name="Table Source" xfId="932"/>
    <cellStyle name="Table Text" xfId="933"/>
    <cellStyle name="Table Title" xfId="934"/>
    <cellStyle name="Table Units" xfId="935"/>
    <cellStyle name="Table_Header" xfId="936"/>
    <cellStyle name="Text" xfId="937"/>
    <cellStyle name="Text 1" xfId="938"/>
    <cellStyle name="Text 2" xfId="939"/>
    <cellStyle name="Text Head" xfId="940"/>
    <cellStyle name="Text Head 1" xfId="941"/>
    <cellStyle name="Text Head 2" xfId="942"/>
    <cellStyle name="Text Head_Arab Light Pricing" xfId="943"/>
    <cellStyle name="Text Indent 1" xfId="944"/>
    <cellStyle name="Text Indent 2" xfId="945"/>
    <cellStyle name="textbold" xfId="946"/>
    <cellStyle name="Tickmark" xfId="947"/>
    <cellStyle name="Times 10" xfId="948"/>
    <cellStyle name="Times 12" xfId="949"/>
    <cellStyle name="Title" xfId="950"/>
    <cellStyle name="Title - PROJECT" xfId="951"/>
    <cellStyle name="Title - Underline" xfId="952"/>
    <cellStyle name="Title_Badin_v2" xfId="953"/>
    <cellStyle name="Titles" xfId="954"/>
    <cellStyle name="Titles - Col. Headings" xfId="955"/>
    <cellStyle name="Titles - Other" xfId="956"/>
    <cellStyle name="Titles_Copy of Rosneft_Standalone_v23 (TA)" xfId="957"/>
    <cellStyle name="TOC 1" xfId="958"/>
    <cellStyle name="TOC 2" xfId="959"/>
    <cellStyle name="Top Title" xfId="960"/>
    <cellStyle name="Total" xfId="961"/>
    <cellStyle name="TotalCurrency" xfId="962"/>
    <cellStyle name="Totals" xfId="963"/>
    <cellStyle name="Undefiniert" xfId="964"/>
    <cellStyle name="Underline_Single" xfId="965"/>
    <cellStyle name="UnProtectedCalc" xfId="966"/>
    <cellStyle name="Upload Only" xfId="967"/>
    <cellStyle name="user" xfId="968"/>
    <cellStyle name="Wahrung [0]_Bilanz" xfId="969"/>
    <cellStyle name="Währung [0]_KOART" xfId="970"/>
    <cellStyle name="Wahrung_Bilanz" xfId="971"/>
    <cellStyle name="Währung_KOART" xfId="972"/>
    <cellStyle name="Warning Text" xfId="973"/>
    <cellStyle name="Year" xfId="974"/>
    <cellStyle name="Year2" xfId="975"/>
    <cellStyle name="YearInput" xfId="976"/>
    <cellStyle name="YearInputBk" xfId="977"/>
    <cellStyle name="YearInputBu" xfId="978"/>
    <cellStyle name="Years" xfId="979"/>
    <cellStyle name="Yen" xfId="980"/>
    <cellStyle name="Анна1" xfId="981"/>
    <cellStyle name="Анна2" xfId="982"/>
    <cellStyle name="Верт. заголовок" xfId="983"/>
    <cellStyle name="Вес_продукта" xfId="984"/>
    <cellStyle name="Гиперссылка" xfId="1" builtinId="8"/>
    <cellStyle name="Группа" xfId="985"/>
    <cellStyle name="Группа 0" xfId="986"/>
    <cellStyle name="Группа 1" xfId="987"/>
    <cellStyle name="Группа 2" xfId="988"/>
    <cellStyle name="Группа 3" xfId="989"/>
    <cellStyle name="Группа 4" xfId="990"/>
    <cellStyle name="Дата" xfId="991"/>
    <cellStyle name="Денежный 2" xfId="992"/>
    <cellStyle name="Итого" xfId="993"/>
    <cellStyle name="Невидимый" xfId="994"/>
    <cellStyle name="Низ1" xfId="995"/>
    <cellStyle name="Низ2" xfId="996"/>
    <cellStyle name="Обычный" xfId="0" builtinId="0"/>
    <cellStyle name="Обычный 10" xfId="997"/>
    <cellStyle name="Обычный 11" xfId="1061"/>
    <cellStyle name="Обычный 12" xfId="1100"/>
    <cellStyle name="Обычный 2" xfId="3"/>
    <cellStyle name="Обычный 2 2" xfId="998"/>
    <cellStyle name="Обычный 2 3" xfId="999"/>
    <cellStyle name="Обычный 2 4" xfId="1000"/>
    <cellStyle name="Обычный 2_Xl0000244" xfId="1085"/>
    <cellStyle name="Обычный 3" xfId="1001"/>
    <cellStyle name="Обычный 3 2" xfId="1002"/>
    <cellStyle name="Обычный 3 2 2" xfId="1003"/>
    <cellStyle name="Обычный 3 3" xfId="1004"/>
    <cellStyle name="Обычный 3 4" xfId="1090"/>
    <cellStyle name="Обычный 3 5" xfId="1092"/>
    <cellStyle name="Обычный 4" xfId="1005"/>
    <cellStyle name="Обычный 4 2" xfId="1006"/>
    <cellStyle name="Обычный 5" xfId="1007"/>
    <cellStyle name="Обычный 5 2" xfId="1008"/>
    <cellStyle name="Обычный 5 2 2" xfId="1009"/>
    <cellStyle name="Обычный 5 3" xfId="1010"/>
    <cellStyle name="Обычный 6" xfId="1011"/>
    <cellStyle name="Обычный 6 2" xfId="1012"/>
    <cellStyle name="Обычный 6 2 2" xfId="1013"/>
    <cellStyle name="Обычный 6 3" xfId="1014"/>
    <cellStyle name="Обычный 6 4" xfId="1015"/>
    <cellStyle name="Обычный 7" xfId="1016"/>
    <cellStyle name="Обычный 7 2" xfId="1017"/>
    <cellStyle name="Обычный 7 2 2" xfId="1018"/>
    <cellStyle name="Обычный 7 3" xfId="1019"/>
    <cellStyle name="Обычный 7 4" xfId="1062"/>
    <cellStyle name="Обычный 8" xfId="1020"/>
    <cellStyle name="Обычный 9" xfId="1021"/>
    <cellStyle name="Обычный_исх инф. укороченн бизнес-плана" xfId="1022"/>
    <cellStyle name="Обычный_КХ Силис" xfId="1096"/>
    <cellStyle name="Обычный_ООО Агропром" xfId="1086"/>
    <cellStyle name="Обычный_Про _фор_ вых" xfId="1023"/>
    <cellStyle name="Обычный_Про _фор_ вых 2" xfId="1099"/>
    <cellStyle name="Обычный_ПФПЛАН пример" xfId="1024"/>
    <cellStyle name="Обычный_расчет Семейного гранта" xfId="1063"/>
    <cellStyle name="Обычный_Расчет_Моттуев" xfId="1087"/>
    <cellStyle name="Обычный_СХПК Хаххах" xfId="1097"/>
    <cellStyle name="Подгруппа" xfId="1025"/>
    <cellStyle name="Пояснение 2" xfId="1093"/>
    <cellStyle name="Продукт" xfId="1026"/>
    <cellStyle name="Процентный 2" xfId="1027"/>
    <cellStyle name="Процентный 2 2" xfId="1088"/>
    <cellStyle name="Процентный 2 3" xfId="1091"/>
    <cellStyle name="Процентный 2_Xl0000244" xfId="1089"/>
    <cellStyle name="Процентный 3" xfId="1028"/>
    <cellStyle name="Процентный 4" xfId="1029"/>
    <cellStyle name="Процентный 5" xfId="1030"/>
    <cellStyle name="Процентный 5 2" xfId="1031"/>
    <cellStyle name="Процентный 6" xfId="1032"/>
    <cellStyle name="Процентный 7" xfId="1033"/>
    <cellStyle name="Разница" xfId="1034"/>
    <cellStyle name="Стиль 1" xfId="1035"/>
    <cellStyle name="Стиль 2" xfId="1036"/>
    <cellStyle name="Субсчет" xfId="1037"/>
    <cellStyle name="Счет" xfId="1038"/>
    <cellStyle name="т" xfId="1039"/>
    <cellStyle name="т_Копия Копия Кэш-фло к проекту_2010 (с изменениями процентой ставки СБ и ВТБ) с учетом пролонгирования СБ и АЭБ" xfId="1040"/>
    <cellStyle name="Тысячи [0]_&quot;АПАТИТ&quot;" xfId="1041"/>
    <cellStyle name="Тысячи [а]" xfId="1042"/>
    <cellStyle name="Тысячи_&quot;АПАТИТ&quot;" xfId="1043"/>
    <cellStyle name="Финансовый" xfId="2" builtinId="3"/>
    <cellStyle name="Финансовый [0] 2" xfId="1044"/>
    <cellStyle name="Финансовый 10" xfId="1045"/>
    <cellStyle name="Финансовый 10 2" xfId="1046"/>
    <cellStyle name="Финансовый 11" xfId="1064"/>
    <cellStyle name="Финансовый 2" xfId="1047"/>
    <cellStyle name="Финансовый 2 2" xfId="1094"/>
    <cellStyle name="Финансовый 3" xfId="1048"/>
    <cellStyle name="Финансовый 3 2" xfId="1095"/>
    <cellStyle name="Финансовый 4" xfId="1049"/>
    <cellStyle name="Финансовый 5" xfId="1050"/>
    <cellStyle name="Финансовый 6" xfId="1051"/>
    <cellStyle name="Финансовый 7" xfId="1052"/>
    <cellStyle name="Финансовый 8" xfId="1053"/>
    <cellStyle name="Финансовый 9" xfId="1054"/>
    <cellStyle name="Финансовый_КХ Силис" xfId="1098"/>
    <cellStyle name="Цена_продукта" xfId="1055"/>
    <cellStyle name="Џђћ–…ќ’ќ›‰" xfId="1056"/>
    <cellStyle name="Шапка" xfId="1057"/>
    <cellStyle name="ШАУ" xfId="1058"/>
    <cellStyle name="표준_Market shares model_15-02-02 v21-1" xfId="1059"/>
    <cellStyle name="標準_050825 Tariff Model" xfId="1060"/>
  </cellStyles>
  <dxfs count="69">
    <dxf>
      <font>
        <color theme="0"/>
      </font>
    </dxf>
    <dxf>
      <font>
        <b val="0"/>
        <condense val="0"/>
        <extend val="0"/>
        <color indexed="9"/>
      </font>
      <fill>
        <patternFill patternType="none">
          <fgColor indexed="64"/>
          <bgColor indexed="65"/>
        </patternFill>
      </fill>
    </dxf>
    <dxf>
      <font>
        <b val="0"/>
        <condense val="0"/>
        <extend val="0"/>
        <color indexed="9"/>
      </font>
      <fill>
        <patternFill patternType="none">
          <fgColor indexed="64"/>
          <bgColor indexed="65"/>
        </patternFill>
      </fill>
    </dxf>
    <dxf>
      <font>
        <b val="0"/>
        <condense val="0"/>
        <extend val="0"/>
        <color indexed="9"/>
      </font>
      <fill>
        <patternFill patternType="none">
          <fgColor indexed="64"/>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FFCC99"/>
      <color rgb="FF0000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84" Type="http://schemas.openxmlformats.org/officeDocument/2006/relationships/externalLink" Target="externalLinks/externalLink44.xml"/><Relationship Id="rId89" Type="http://schemas.openxmlformats.org/officeDocument/2006/relationships/externalLink" Target="externalLinks/externalLink4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externalLink" Target="externalLinks/externalLink34.xml"/><Relationship Id="rId79" Type="http://schemas.openxmlformats.org/officeDocument/2006/relationships/externalLink" Target="externalLinks/externalLink3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50.xml"/><Relationship Id="rId95" Type="http://schemas.openxmlformats.org/officeDocument/2006/relationships/externalLink" Target="externalLinks/externalLink5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80" Type="http://schemas.openxmlformats.org/officeDocument/2006/relationships/externalLink" Target="externalLinks/externalLink40.xml"/><Relationship Id="rId85" Type="http://schemas.openxmlformats.org/officeDocument/2006/relationships/externalLink" Target="externalLinks/externalLink4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externalLink" Target="externalLinks/externalLink2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externalLink" Target="externalLinks/externalLink30.xml"/><Relationship Id="rId75" Type="http://schemas.openxmlformats.org/officeDocument/2006/relationships/externalLink" Target="externalLinks/externalLink35.xml"/><Relationship Id="rId83" Type="http://schemas.openxmlformats.org/officeDocument/2006/relationships/externalLink" Target="externalLinks/externalLink43.xml"/><Relationship Id="rId88" Type="http://schemas.openxmlformats.org/officeDocument/2006/relationships/externalLink" Target="externalLinks/externalLink48.xml"/><Relationship Id="rId91" Type="http://schemas.openxmlformats.org/officeDocument/2006/relationships/externalLink" Target="externalLinks/externalLink51.xml"/><Relationship Id="rId96" Type="http://schemas.openxmlformats.org/officeDocument/2006/relationships/externalLink" Target="externalLinks/externalLink5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externalLink" Target="externalLinks/externalLink33.xml"/><Relationship Id="rId78" Type="http://schemas.openxmlformats.org/officeDocument/2006/relationships/externalLink" Target="externalLinks/externalLink38.xml"/><Relationship Id="rId81" Type="http://schemas.openxmlformats.org/officeDocument/2006/relationships/externalLink" Target="externalLinks/externalLink41.xml"/><Relationship Id="rId86" Type="http://schemas.openxmlformats.org/officeDocument/2006/relationships/externalLink" Target="externalLinks/externalLink46.xml"/><Relationship Id="rId94" Type="http://schemas.openxmlformats.org/officeDocument/2006/relationships/externalLink" Target="externalLinks/externalLink54.xml"/><Relationship Id="rId99" Type="http://schemas.openxmlformats.org/officeDocument/2006/relationships/externalLink" Target="externalLinks/externalLink5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openxmlformats.org/officeDocument/2006/relationships/externalLink" Target="externalLinks/externalLink36.xml"/><Relationship Id="rId97" Type="http://schemas.openxmlformats.org/officeDocument/2006/relationships/externalLink" Target="externalLinks/externalLink5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1.xml"/><Relationship Id="rId92" Type="http://schemas.openxmlformats.org/officeDocument/2006/relationships/externalLink" Target="externalLinks/externalLink5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 Id="rId87" Type="http://schemas.openxmlformats.org/officeDocument/2006/relationships/externalLink" Target="externalLinks/externalLink47.xml"/><Relationship Id="rId61" Type="http://schemas.openxmlformats.org/officeDocument/2006/relationships/externalLink" Target="externalLinks/externalLink21.xml"/><Relationship Id="rId82" Type="http://schemas.openxmlformats.org/officeDocument/2006/relationships/externalLink" Target="externalLinks/externalLink4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6.xml"/><Relationship Id="rId77" Type="http://schemas.openxmlformats.org/officeDocument/2006/relationships/externalLink" Target="externalLinks/externalLink37.xml"/><Relationship Id="rId100"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93" Type="http://schemas.openxmlformats.org/officeDocument/2006/relationships/externalLink" Target="externalLinks/externalLink53.xml"/><Relationship Id="rId98" Type="http://schemas.openxmlformats.org/officeDocument/2006/relationships/externalLink" Target="externalLinks/externalLink5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240"/>
      <c:rAngAx val="0"/>
      <c:perspective val="30"/>
    </c:view3D>
    <c:floor>
      <c:thickness val="0"/>
    </c:floor>
    <c:sideWall>
      <c:thickness val="0"/>
    </c:sideWall>
    <c:backWall>
      <c:thickness val="0"/>
    </c:backWall>
    <c:plotArea>
      <c:layout>
        <c:manualLayout>
          <c:layoutTarget val="inner"/>
          <c:xMode val="edge"/>
          <c:yMode val="edge"/>
          <c:x val="8.0810762887025891E-2"/>
          <c:y val="0.134377031340155"/>
          <c:w val="0.61609264662687468"/>
          <c:h val="0.82343891346060527"/>
        </c:manualLayout>
      </c:layout>
      <c:pie3DChart>
        <c:varyColors val="1"/>
        <c:ser>
          <c:idx val="0"/>
          <c:order val="0"/>
          <c:explosion val="43"/>
          <c:dPt>
            <c:idx val="0"/>
            <c:bubble3D val="0"/>
            <c:spPr>
              <a:solidFill>
                <a:srgbClr val="FFC000"/>
              </a:solidFill>
            </c:spPr>
          </c:dPt>
          <c:dPt>
            <c:idx val="1"/>
            <c:bubble3D val="0"/>
            <c:spPr>
              <a:solidFill>
                <a:srgbClr val="92D050"/>
              </a:solidFill>
            </c:spPr>
          </c:dPt>
          <c:dPt>
            <c:idx val="2"/>
            <c:bubble3D val="0"/>
            <c:spPr>
              <a:solidFill>
                <a:srgbClr val="C00000"/>
              </a:solidFill>
            </c:spPr>
          </c:dPt>
          <c:dLbls>
            <c:dLbl>
              <c:idx val="0"/>
              <c:layout>
                <c:manualLayout>
                  <c:x val="7.7690541568178242E-2"/>
                  <c:y val="1.333606044447041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5198914679978086E-2"/>
                  <c:y val="2.384006467149267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16565412751073635"/>
                  <c:y val="-8.702041193987694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b="1">
                    <a:solidFill>
                      <a:srgbClr val="C00000"/>
                    </a:solidFill>
                    <a:latin typeface="Arial" panose="020B0604020202020204" pitchFamily="34" charset="0"/>
                    <a:cs typeface="Arial" panose="020B0604020202020204" pitchFamily="34" charset="0"/>
                  </a:defRPr>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cat>
            <c:strRef>
              <c:f>'28.ПЛАН о Фин.сост'!$O$17:$O$25</c:f>
              <c:strCache>
                <c:ptCount val="9"/>
                <c:pt idx="0">
                  <c:v>Корма</c:v>
                </c:pt>
                <c:pt idx="1">
                  <c:v>Ветеринарные и лабораторные расходы при сдаче молока</c:v>
                </c:pt>
                <c:pt idx="2">
                  <c:v>ГСМ</c:v>
                </c:pt>
                <c:pt idx="3">
                  <c:v>Водоснабжение</c:v>
                </c:pt>
                <c:pt idx="4">
                  <c:v>Расходы на запчасти, ремонт</c:v>
                </c:pt>
                <c:pt idx="5">
                  <c:v>Коммунальные платежи (свет, газ, вода)</c:v>
                </c:pt>
                <c:pt idx="6">
                  <c:v>Прочие расходы*</c:v>
                </c:pt>
                <c:pt idx="7">
                  <c:v>Оплата труда с отчислениями</c:v>
                </c:pt>
                <c:pt idx="8">
                  <c:v>Налоги</c:v>
                </c:pt>
              </c:strCache>
            </c:strRef>
          </c:cat>
          <c:val>
            <c:numRef>
              <c:f>'28.ПЛАН о Фин.сост'!$P$17:$P$25</c:f>
              <c:numCache>
                <c:formatCode>#,##0</c:formatCode>
                <c:ptCount val="9"/>
                <c:pt idx="0">
                  <c:v>447.03725624999998</c:v>
                </c:pt>
                <c:pt idx="1">
                  <c:v>30.941666666666666</c:v>
                </c:pt>
                <c:pt idx="2">
                  <c:v>158.69999999999999</c:v>
                </c:pt>
                <c:pt idx="3">
                  <c:v>108.75</c:v>
                </c:pt>
                <c:pt idx="4">
                  <c:v>112.41249999999998</c:v>
                </c:pt>
                <c:pt idx="5">
                  <c:v>118.75</c:v>
                </c:pt>
                <c:pt idx="6">
                  <c:v>15.327000000000002</c:v>
                </c:pt>
                <c:pt idx="7">
                  <c:v>1485.7950366133332</c:v>
                </c:pt>
                <c:pt idx="8">
                  <c:v>45.25624970819996</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79445447676015968"/>
          <c:y val="0.10714795308394874"/>
          <c:w val="0.20554552846618579"/>
          <c:h val="0.80735053848270355"/>
        </c:manualLayout>
      </c:layout>
      <c:overlay val="0"/>
      <c:txPr>
        <a:bodyPr/>
        <a:lstStyle/>
        <a:p>
          <a:pPr>
            <a:defRPr sz="1400" b="1">
              <a:latin typeface="Arial" panose="020B0604020202020204" pitchFamily="34" charset="0"/>
              <a:cs typeface="Arial" panose="020B0604020202020204" pitchFamily="34" charset="0"/>
            </a:defRPr>
          </a:pPr>
          <a:endParaRPr lang="ru-RU"/>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349249</xdr:colOff>
      <xdr:row>28</xdr:row>
      <xdr:rowOff>158749</xdr:rowOff>
    </xdr:from>
    <xdr:to>
      <xdr:col>37</xdr:col>
      <xdr:colOff>79375</xdr:colOff>
      <xdr:row>78</xdr:row>
      <xdr:rowOff>95250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ternal\users\Documents%20and%20Settings\bul_dv\&#1056;&#1072;&#1073;&#1086;&#1095;&#1080;&#1081;%20&#1089;&#1090;&#1086;&#1083;\WINDOWS\Temporary%20Internet%20Files\Content.IE5\CLQ3C1E7\&#1050;&#1085;&#1080;&#1075;&#107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1055;&#1050;\Obmennik\Privat\Synthes\Investitionen\NAKAMURA%20WTS%20150\Invest%20Nakamura%20WTS-1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rkov\&#1071;&#1097;&#1080;&#1082;\Documents%20and%20Settings\mikheeva\&#1056;&#1072;&#1073;&#1086;&#1095;&#1080;&#1081;%20&#1089;&#1090;&#1086;&#1083;\PREDEL.ELEK.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irkov\&#1071;&#1097;&#1080;&#1082;\DOCUME~1\PSTOKO~1\LOCALS~1\Temp\proverk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6;&#1072;&#1089;&#1087;&#1088;&#1077;&#1076;&#1077;&#1083;&#1077;&#1085;&#1080;&#107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5;&#1083;&#1072;&#1085;&#1086;&#1074;&#1086;-&#1101;&#1082;&#1086;&#1085;&#1086;&#1084;&#1080;&#1095;&#1077;&#1089;&#1082;&#1086;&#1077;%20&#1091;&#1087;&#1088;&#1072;&#1074;&#1083;&#1077;&#1085;&#1080;&#1077;/&#1053;&#1086;&#1084;&#1077;&#1085;&#1082;&#1083;&#1072;&#1090;&#1091;&#1088;&#1072;%20&#1076;&#1077;&#1083;/06-09%20&#1057;&#1074;&#1086;&#1076;&#1085;&#1072;&#1103;%20&#1072;&#1085;&#1072;&#1083;&#1080;&#1090;&#1080;&#1082;&#1072;/&#1054;&#1090;&#1076;&#1077;&#1083;%20&#1092;&#1086;&#1088;&#1084;&#1080;&#1088;&#1086;&#1074;&#1072;&#1085;&#1080;&#1103;%20&#1090;&#1072;&#1088;&#1080;&#1092;&#1086;&#1074;/&#1047;&#1040;&#1065;&#1048;&#1058;&#1040;%20&#1058;&#1040;&#1056;&#1048;&#1060;&#1054;&#1042;%20&#1053;&#1040;%202012%20&#1075;/&#1053;&#1086;&#1074;&#1099;&#1077;%20&#1096;&#1072;&#1073;&#1083;&#1086;&#1085;&#1099;/&#1043;&#1054;&#1058;&#1054;&#1042;/&#1086;&#1090;&#1076;&#1077;&#1083;&#1100;&#1085;&#1099;&#1077;/&#1057;&#1086;&#1089;&#1085;&#1086;&#1074;&#1082;&#107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5;&#1083;&#1072;&#1085;&#1086;&#1074;&#1086;-&#1101;&#1082;&#1086;&#1085;&#1086;&#1084;&#1080;&#1095;&#1077;&#1089;&#1082;&#1086;&#1077;%20&#1091;&#1087;&#1088;&#1072;&#1074;&#1083;&#1077;&#1085;&#1080;&#1077;/&#1053;&#1086;&#1084;&#1077;&#1085;&#1082;&#1083;&#1072;&#1090;&#1091;&#1088;&#1072;%20&#1076;&#1077;&#1083;/06-09%20&#1057;&#1074;&#1086;&#1076;&#1085;&#1072;&#1103;%20&#1072;&#1085;&#1072;&#1083;&#1080;&#1090;&#1080;&#1082;&#1072;/&#1054;&#1090;&#1076;&#1077;&#1083;%20&#1092;&#1086;&#1088;&#1084;&#1080;&#1088;&#1086;&#1074;&#1072;&#1085;&#1080;&#1103;%20&#1090;&#1072;&#1088;&#1080;&#1092;&#1086;&#1074;/&#1047;&#1040;&#1065;&#1048;&#1058;&#1040;%20&#1058;&#1040;&#1056;&#1048;&#1060;&#1054;&#1042;%20&#1053;&#1040;%202012%20&#1075;/&#1053;&#1086;&#1074;&#1099;&#1077;%20&#1096;&#1072;&#1073;&#1083;&#1086;&#1085;&#1099;/&#1043;&#1054;&#1058;&#1054;&#1042;/&#1086;&#1090;&#1076;&#1077;&#1083;&#1100;&#1085;&#1099;&#1077;/&#1057;&#1061;&#1042;&#1052;%20&#1042;-&#1042;&#1080;&#1083;&#1102;&#1081;&#1089;&#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skomcen\Teplo\&#1071;&#1097;&#1080;&#1082;\&#1057;&#1074;&#1086;&#1076;%20&#1090;&#1077;&#1087;&#1083;&#1072;%202009%20&#1087;&#1083;&#1072;&#1085;\&#1090;&#1077;&#1087;&#1083;&#1086;%202009\Abyiskiy%20BALANCE.WARM.2009YE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2;&#1086;&#1080;%20&#1076;&#1086;&#1082;&#1091;&#1084;&#1077;&#1085;&#1090;&#1099;/2006&#1075;/&#1056;&#1072;&#1089;&#1095;&#1077;&#1090;%20&#1089;&#1091;&#1073;&#1074;&#1077;&#1085;&#1094;&#1080;&#1081;%20&#1085;&#1072;%20207&#107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kheeva\&#1071;&#1097;&#1080;&#1082;\&#1052;&#1086;&#1080;%20&#1076;&#1086;&#1082;&#1091;&#1084;&#1077;&#1085;&#1090;&#1099;\2007&#1075;&#1086;&#1076;\&#1053;&#1043;&#1056;&#1069;&#1057;\Documents%20and%20Settings\peo6\&#1056;&#1072;&#1073;&#1086;&#1095;&#1080;&#1081;%20&#1089;&#1090;&#1086;&#1083;\&#1044;&#1083;&#1103;%20&#1056;&#1069;&#1050;%20(30.08.06&#1075;)\&#1090;&#1077;&#1087;&#1083;&#1086;%20&#1053;&#1043;&#1056;&#1069;&#1057;%20(&#1056;&#1069;&#1050;%20&#1087;&#1086;&#1089;&#1083;&#1077;&#1076;&#1085;&#1080;&#1081;%20&#1074;&#1072;&#1088;&#1080;&#1072;&#1085;&#1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kheeva\&#1071;&#1097;&#1080;&#1082;\&#1052;&#1086;&#1080;%20&#1076;&#1086;&#1082;&#1091;&#1084;&#1077;&#1085;&#1090;&#1099;\2007&#1075;&#1086;&#1076;\&#1053;&#1043;&#1056;&#1069;&#1057;\Documents%20and%20Settings\peo6\&#1056;&#1072;&#1073;&#1086;&#1095;&#1080;&#1081;%20&#1089;&#1090;&#1086;&#1083;\&#1044;&#1083;&#1103;%20&#1056;&#1069;&#1050;%20(30.08.06&#1075;)\&#1044;&#1083;&#1103;%20&#1056;&#1069;&#1050;%20(30.08.06&#1075;)\&#1044;&#1083;&#1103;%20&#1056;&#1069;&#1050;%20EXPERT_GRES.2007.5_&#1071;&#1082;&#1091;&#1090;&#1080;&#1103;_NEW%20(&#1050;&#1086;&#1088;&#1103;&#1075;&#1080;&#1085;&#107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kheeva\&#1071;&#1097;&#1080;&#1082;\&#1071;&#1097;&#1080;&#1082;\&#1088;&#1072;&#1089;&#1095;&#1077;&#1090;%20&#1090;&#1072;&#1088;&#1080;&#1092;&#1072;%20&#1084;&#1086;&#108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kheeva\&#1071;&#1097;&#1080;&#1082;\&#1052;&#1086;&#1080;%20&#1076;&#1086;&#1082;&#1091;&#1084;&#1077;&#1085;&#1090;&#1099;\2006&#1075;\&#1060;&#1057;&#1058;%20&#1087;&#1088;&#1086;&#1075;&#1085;&#1086;&#1079;%202008&#1075;\&#1055;&#1088;&#1077;&#1076;&#1077;&#1083;&#1100;&#1085;&#1099;&#1077;%20&#1087;&#1086;%20&#1092;&#1086;&#1088;&#1084;&#1077;%20&#1060;&#1057;&#1058;%2023.03.07&#1075;..xls&#1082;&#1072;&#1087;&#107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irkov\&#1071;&#1097;&#1080;&#1082;\&#1052;&#1086;&#1080;%20&#1076;&#1086;&#1082;&#1091;&#1084;&#1077;&#1085;&#1090;&#1099;\TOVAR\2007\2007%20&#1055;\&#1055;&#1056;&#1054;&#1042;&#1045;&#1056;&#1050;&#1048;\&#1061;&#1072;&#1073;&#1072;&#1088;&#1086;&#1074;&#1089;&#1082;&#1101;&#1085;&#1077;&#1088;&#1075;&#1086;%20&#1088;&#1072;&#1089;&#1095;&#1077;&#1090;%20&#1090;&#1072;&#1088;&#1080;&#1092;&#1072;%20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ognoz\distr\24_02_04\&#1055;&#1086;&#1089;&#1083;&#1077;&#1076;&#1085;&#1080;&#1077;%20&#1084;&#1072;&#1082;&#1077;&#1090;&#1099;\&#1052;&#1072;&#1082;&#1077;&#1090;%20&#1055;&#1088;&#1080;&#1073;&#1099;&#108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1056;&#1072;&#1089;&#1096;&#1080;&#1092;&#1088;&#1086;&#1074;&#1082;&#1080;%20&#1082;%20&#1089;&#1084;&#1077;&#1090;&#1077;\&#1042;&#1089;&#1087;&#1086;&#1084;&#1086;&#1075;&#1072;&#1090;&#1077;&#1083;&#1100;&#1085;&#1099;&#1077;%20&#1088;&#1072;&#1089;&#1093;&#1086;&#1076;&#1099;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econ03\Local%20Settings\Temporary%20Internet%20Files\OLK132\Documents\&#1060;&#1080;&#1085;&#1072;&#1085;&#1089;&#1086;&#1074;&#1086;&#1077;%20&#1086;&#1079;&#1076;&#1086;&#1088;&#1086;&#1074;&#1083;&#1077;&#1085;&#1080;&#1077;\&#1060;&#1080;&#1085;&#1055;&#1083;&#1072;&#1085;&#1052;&#1086;&#1089;&#1082;&#1074;&#1072;\proekt\&#1041;&#1080;&#1079;&#1085;&#1077;&#1089;-&#1087;&#1083;&#1072;&#1085;&#1080;&#1088;&#1086;&#1074;&#1072;&#1085;&#1080;&#1077;\&#1087;&#1088;&#1086;&#1092;&#1080;&#1085;&#1087;&#1083;&#1072;&#1085;\&#1089;&#1087;&#1080;&#1089;&#1082;&#10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econ03/Local%20Settings/Temporary%20Internet%20Files/OLK132/Documents/&#1060;&#1080;&#1085;&#1072;&#1085;&#1089;&#1086;&#1074;&#1086;&#1077;%20&#1086;&#1079;&#1076;&#1086;&#1088;&#1086;&#1074;&#1083;&#1077;&#1085;&#1080;&#1077;/&#1060;&#1080;&#1085;&#1055;&#1083;&#1072;&#1085;&#1052;&#1086;&#1089;&#1082;&#1074;&#1072;/proekt/&#1041;&#1080;&#1079;&#1085;&#1077;&#1089;-&#1087;&#1083;&#1072;&#1085;&#1080;&#1088;&#1086;&#1074;&#1072;&#1085;&#1080;&#1077;/&#1087;&#1088;&#1086;&#1092;&#1080;&#1085;&#1087;&#1083;&#1072;&#1085;/&#1089;&#1087;&#1080;&#1089;&#1082;&#1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cononotebook\&#1042;&#1093;&#1086;&#1076;&#1103;&#1097;&#1080;&#1077;\Documents\&#1060;&#1080;&#1085;&#1072;&#1085;&#1089;&#1086;&#1074;&#1086;&#1077;%20&#1086;&#1079;&#1076;&#1086;&#1088;&#1086;&#1074;&#1083;&#1077;&#1085;&#1080;&#1077;\&#1060;&#1080;&#1085;&#1055;&#1083;&#1072;&#1085;&#1052;&#1086;&#1089;&#1082;&#1074;&#1072;\proekt\&#1041;&#1080;&#1079;&#1085;&#1077;&#1089;-&#1087;&#1083;&#1072;&#1085;&#1080;&#1088;&#1086;&#1074;&#1072;&#1085;&#1080;&#1077;\&#1087;&#1088;&#1086;&#1092;&#1080;&#1085;&#1087;&#1083;&#1072;&#1085;\&#1089;&#1087;&#1080;&#1089;&#1082;&#10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ublic/&#1055;&#1083;&#1072;&#1085;&#1086;&#1074;&#1086;-&#1101;&#1082;&#1086;&#1085;&#1086;&#1084;&#1080;&#1095;&#1077;&#1089;&#1082;&#1086;&#1077;%20&#1091;&#1087;&#1088;&#1072;&#1074;&#1083;&#1077;&#1085;&#1080;&#1077;/&#1053;&#1086;&#1084;&#1077;&#1085;&#1082;&#1083;&#1072;&#1090;&#1091;&#1088;&#1072;%20&#1076;&#1077;&#1083;/06-07%20&#1055;&#1083;&#1072;&#1085;&#1099;%20&#1088;&#1072;&#1073;&#1086;&#1090;/&#1054;&#1090;&#1076;&#1077;&#1083;%20&#1092;&#1086;&#1088;&#1084;&#1080;&#1088;&#1086;&#1074;&#1072;&#1085;&#1080;&#1103;%20&#1090;&#1072;&#1088;&#1080;&#1092;&#1086;&#1074;/&#1047;&#1040;&#1065;&#1048;&#1058;&#1040;%202010%20&#1075;&#1086;&#1076;/&#1057;&#1086;&#1076;&#1077;&#1088;&#1078;&#1072;&#1085;&#1080;&#1077;%20&#1040;&#1044;&#1057;/DOCUME~1/BAISHE~1/LOCALS~1/Temp/Rar$DI39.3093/&#1058;&#1077;&#1087;&#1083;&#1086;%202008/Documents%20and%20Settings/&#1069;&#1082;&#1086;&#1085;&#1086;&#1084;&#1080;&#1089;&#1090;"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1044;&#1086;&#1075;&#1086;&#1074;&#1086;&#1088;&#1072;%202004&#1075;\&#1084;&#1077;&#1089;&#1090;&#1085;&#1099;&#1081;\&#1056;&#1072;&#1089;&#1096;&#1080;&#1092;&#1088;&#1086;&#1074;&#1082;&#1080;%20&#1082;%20&#1089;&#1084;&#1077;&#1090;&#1077;\&#1042;&#1089;&#1087;&#1086;&#1084;&#1086;&#1075;&#1072;&#1090;&#1077;&#1083;&#1100;&#1085;&#1099;&#1077;%20&#1088;&#1072;&#1089;&#1093;&#1086;&#1076;&#109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ld\&#1052;&#1054;&#1048;%20&#1044;&#1054;&#1050;&#1059;&#1052;&#1045;&#1053;&#1058;\&#1055;&#1088;&#1080;&#1083;&#1086;&#1078;%20&#8470;2.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irkov\&#1071;&#1097;&#1080;&#1082;\DOCUME~1\DROMAN~1\LOCALS~1\Temp\notes6030C8\~504795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1087;&#1088;&#1086;&#1075;&#1085;&#1086;&#1079;2000%20&#1052;&#1046;&#1050;&#1061;\&#1060;&#1086;&#1088;&#1084;&#1099;%20&#1052;&#1046;&#1050;&#1061;-Office97\&#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user/Desktop/&#1050;&#1056;&#1057;%20&#1084;&#1084;/&#1052;&#1086;&#1080;%20&#1076;&#1086;&#1082;&#1091;&#1084;&#1077;&#1085;&#1090;&#1099;/&#1052;&#1086;&#1080;%20&#1076;&#1086;&#1082;&#1091;&#1084;&#1077;&#1085;&#1090;&#1099;/&#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4_&#1054;&#1090;&#1076;&#1077;&#1083;%20&#1082;&#1086;&#1085;&#1089;&#1091;&#1083;&#1100;&#1090;&#1080;&#1088;&#1086;&#1074;&#1072;&#1085;&#1080;&#1103;%20&#1080;%20&#1090;&#1077;&#1093;&#1085;&#1086;&#1083;&#1086;&#1075;&#1080;&#1095;&#1077;&#1089;&#1082;&#1086;&#1075;&#1086;%20&#1089;&#1086;&#1087;&#1088;&#1086;&#1074;&#1086;&#1078;&#1076;&#1077;&#1085;&#1080;&#1103;%20&#1074;&#1077;&#1076;&#1077;&#1085;&#1080;&#1103;%20&#1089;&#1077;&#1083;&#1100;&#1089;&#1082;&#1086;&#1075;&#1086;%20&#1093;&#1086;&#1079;&#1103;&#1081;&#1089;&#1090;&#1074;&#1072;/&#1055;&#1053;&#1060;%20-2018%20&#1075;&#1086;&#1076;%20&#1086;&#1073;&#1088;&#1072;&#1079;&#1077;&#1094;/&#1052;&#1086;&#1080;%20&#1076;&#1086;&#1082;&#1091;&#1084;&#1077;&#1085;&#1090;&#1099;/&#1052;&#1086;&#1080;%20&#1076;&#1086;&#1082;&#1091;&#1084;&#1077;&#1085;&#1090;&#1099;/&#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1058;&#1072;&#1085;&#1103;/Downloads/&#1056;&#1057;&#1046;&#1060;%202018/&#1052;&#1086;&#1080;%20&#1076;&#1086;&#1082;&#1091;&#1084;&#1077;&#1085;&#1090;&#1099;/&#1052;&#1086;&#1080;%20&#1076;&#1086;&#1082;&#1091;&#1084;&#1077;&#1085;&#1090;&#1099;/&#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ublic/Documents%20and%20Settings/&#1040;&#1076;&#1084;&#1080;&#1085;&#1080;&#1089;&#1090;&#1088;&#1072;&#1090;&#1086;&#1088;/&#1056;&#1072;&#1073;&#1086;&#1095;&#1080;&#1081;%20&#1089;&#1090;&#1086;&#1083;/&#1060;&#1080;&#1085;&#1082;/&#1058;&#1072;&#1088;&#1080;&#1092;%202008%20&#1075;&#1086;&#1076;/WINDOWS/&#1056;&#1072;&#1073;&#1086;&#1095;&#1080;&#1081;%20&#1089;&#1090;&#1086;&#1083;/&#1055;&#1083;&#1072;&#1085;%202001/&#1047;&#1072;&#1097;&#1080;&#1090;&#1072;%202001/&#1052;&#1086;&#1080;%20&#1076;&#1086;&#1082;&#1091;&#1084;&#1077;&#1085;&#1090;&#1099;/&#1055;&#1086;&#1076;&#1075;&#1086;&#1090;&#1086;&#1074;&#1082;&#1072;%20&#1082;%20&#1079;&#1072;&#1097;&#1080;&#1090;&#1077;%20&#1073;&#1102;&#1076;&#1078;&#1077;&#1090;&#1072;%202000%20&#1075;&#1086;&#1076;&#1072;/&#1060;&#1086;&#1088;&#1084;&#1099;%20&#1080;&#1089;&#1093;&#1086;&#1076;&#1085;&#1099;&#1093;%20&#1076;&#1072;&#1085;&#1085;&#1099;&#1093;/&#1060;&#1080;&#1085;&#1072;&#1085;&#1089;&#1086;&#1074;&#1086;-&#1101;&#1082;&#1086;&#1085;&#1086;&#1084;&#1080;&#1095;&#1077;&#1089;&#1082;&#1086;&#1077;%20&#109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ublic/&#1055;&#1083;&#1072;&#1085;&#1086;&#1074;&#1086;-&#1101;&#1082;&#1086;&#1085;&#1086;&#1084;&#1080;&#1095;&#1077;&#1089;&#1082;&#1086;&#1077;%20&#1091;&#1087;&#1088;&#1072;&#1074;&#1083;&#1077;&#1085;&#1080;&#1077;/&#1053;&#1086;&#1084;&#1077;&#1085;&#1082;&#1083;&#1072;&#1090;&#1091;&#1088;&#1072;%20&#1076;&#1077;&#1083;/06-07%20&#1055;&#1083;&#1072;&#1085;&#1099;%20&#1088;&#1072;&#1073;&#1086;&#1090;/&#1054;&#1090;&#1076;&#1077;&#1083;%20&#1092;&#1086;&#1088;&#1084;&#1080;&#1088;&#1086;&#1074;&#1072;&#1085;&#1080;&#1103;%20&#1090;&#1072;&#1088;&#1080;&#1092;&#1086;&#1074;/&#1047;&#1040;&#1065;&#1048;&#1058;&#1040;%202010%20&#1075;&#1086;&#1076;/&#1057;&#1086;&#1076;&#1077;&#1088;&#1078;&#1072;&#1085;&#1080;&#1077;%20&#1040;&#1044;&#1057;/Documents%20and%20Settings/123/&#1056;&#1072;&#1073;&#1086;&#1095;&#1080;&#1081;%20&#1089;&#1090;&#1086;&#1083;/&#1052;&#1086;&#1080;%20&#1076;&#1086;&#1082;&#1091;&#1084;&#1077;&#1085;&#1090;&#1099;/&#1052;&#1086;&#1080;%20&#1076;&#1086;&#1082;&#1091;&#1084;&#1077;&#1085;&#1090;&#1099;/&#1060;&#1086;&#1088;&#1084;&#1099;%20&#1080;&#1089;&#1093;&#1086;&#1076;&#1085;&#1099;&#1093;%20&#1076;&#1072;&#1085;&#1085;&#1099;&#1093;"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1055;&#1088;&#1086;&#1077;&#1082;&#1090;%20&#1073;&#1102;&#1076;&#1078;&#1077;&#1090;&#1072;%202004%20&#1075;\&#1052;&#1086;&#1080;%20&#1076;&#1086;&#1082;&#1091;&#1084;&#1077;&#1085;&#1090;&#1099;\&#1059;&#1089;&#1090;&#1100;-&#1040;&#1083;&#1076;&#1072;&#1085;\End-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irkov\&#1071;&#1097;&#1080;&#1082;\DOCUME~1\DROMAN~1\LOCALS~1\Temp\notes6030C8\GRES.2007.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buh\&#1052;&#1086;&#1080;%20&#1076;&#1086;&#1082;&#1091;&#1084;&#1077;&#1085;&#1090;&#1099;\&#1052;&#1086;&#1080;%20&#1076;&#1086;&#1082;&#1091;&#1084;&#1077;&#1085;&#1090;&#1099;\&#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Public/&#1052;&#1086;&#1080;%20&#1076;&#1086;&#1082;&#1091;&#1084;&#1077;&#1085;&#1090;&#1099;/&#1052;&#1086;&#1080;%20&#1076;&#1086;&#1082;&#1091;&#1084;&#1077;&#1085;&#1090;&#1099;/&#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55;&#1083;&#1072;&#1085;%202001\&#1047;&#1072;&#1097;&#1080;&#1090;&#1072;%202001\&#1052;&#1086;&#1080;%20&#1076;&#1086;&#1082;&#1091;&#1084;&#1077;&#1085;&#1090;&#1099;\&#1055;&#1086;&#1076;&#1075;&#1086;&#1090;&#1086;&#1074;&#1082;&#1072;%20&#1082;%20&#1079;&#1072;&#1097;&#1080;&#1090;&#1077;%20&#1073;&#1102;&#1076;&#1078;&#1077;&#1090;&#1072;%202000%20&#1075;&#1086;&#1076;&#1072;\&#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olotkova\tab\WINNT\Profiles\pfo_4\&#1056;&#1072;&#1073;&#1086;&#1095;&#1080;&#1081;%20&#1089;&#1090;&#1086;&#1083;\&#1050;&#1085;&#1080;&#1075;&#1072;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c/&#1052;&#1086;&#1080;%20&#1076;&#1086;&#1082;&#1091;&#1084;&#1077;&#1085;&#1090;&#1099;/&#1043;&#1059;&#1055;%20&#1046;&#1050;&#1061;%20&#1056;&#1057;(&#1071;)/&#1040;&#1084;&#1075;&#1080;&#1085;&#1089;&#1082;&#1080;&#1081;%20&#1092;&#1080;&#1083;&#1080;&#1072;&#1083;/2007%20&#1075;&#1086;&#1076;/&#1087;&#1088;&#1086;&#1075;&#1085;&#1086;&#1079;2000%20&#1052;&#1046;&#1050;&#1061;/&#1060;&#1086;&#1088;&#1084;&#1099;%20&#1052;&#1046;&#1050;&#1061;-Office97/&#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xternal\users\Documents%20and%20Settings\bul_dv\&#1056;&#1072;&#1073;&#1086;&#1095;&#1080;&#1081;%20&#1089;&#1090;&#1086;&#1083;\&#1056;&#1077;&#1075;&#1083;&#1072;&#1084;&#1077;&#1085;&#1090;&#1099;%20&#1087;&#1086;%20&#1073;&#1102;&#1076;&#1078;&#1077;&#1090;&#1072;&#1084;\&#1056;&#1077;&#1075;&#1083;&#1072;&#1084;&#1077;&#1085;%20&#1087;&#1086;%20&#1055;&#1060;&#1055;%20&#1044;&#1055;&#1053;%20&#1044;&#1042;&#1069;&#1059;&#1050;%202005&#1075;\&#1055;&#1088;&#1086;&#1075;&#1085;&#1086;&#1079;%20&#1101;&#1092;&#1092;&#1077;&#1082;&#1090;&#1080;&#1074;&#1085;&#1086;&#1089;&#1090;&#108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1087;&#1088;&#1086;&#1075;&#1085;&#1086;&#1079;2000%20&#1052;&#1046;&#1050;&#1061;/&#1060;&#1086;&#1088;&#1084;&#1099;%20&#1052;&#1046;&#1050;&#1061;-Office97/&#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1087;&#1088;&#1086;&#1075;&#1085;&#1086;&#1079;2000%20&#1052;&#1046;&#1050;&#1061;\&#1060;&#1086;&#1088;&#1084;&#1099;%20&#1052;&#1046;&#1050;&#1061;-Office97\&#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ublic/Documents%20and%20Settings/&#1040;&#1076;&#1084;&#1080;&#1085;&#1080;&#1089;&#1090;&#1088;&#1072;&#1090;&#1086;&#1088;/&#1056;&#1072;&#1073;&#1086;&#1095;&#1080;&#1081;%20&#1089;&#1090;&#1086;&#1083;/&#1060;&#1080;&#1085;&#1082;/&#1058;&#1072;&#1088;&#1080;&#1092;%202008%20&#1075;&#1086;&#1076;/&#1052;&#1086;&#1080;%20&#1076;&#1086;&#1082;&#1091;&#1084;&#1077;&#1085;&#1090;&#1099;/2004/WINDOWS/&#1056;&#1072;&#1073;&#1086;&#1095;&#1080;&#1081;%20&#1089;&#1090;&#1086;&#1083;/&#1055;&#1083;&#1072;&#1085;%202003/&#1047;&#1072;&#1097;&#1080;&#1090;&#1072;%20&#1074;%20&#1052;&#1046;&#1050;&#1061;%202003/WINDOWS/&#1056;&#1072;&#1073;&#1086;&#1095;&#1080;&#1081;%20&#1089;&#1090;&#1086;&#1083;/&#1055;&#1083;&#1072;&#1085;%202001/&#1047;&#1072;&#1097;&#1080;&#1090;&#1072;%202001/&#1052;&#1086;&#1080;%20&#1076;&#1086;&#1082;&#1091;&#1084;&#1077;&#1085;&#1090;&#1099;/&#1055;&#1086;&#1076;&#1075;&#1086;&#1090;&#1086;&#1074;&#1082;&#1072;%20&#1082;%20&#1079;&#1072;&#1097;&#1080;&#1090;&#1077;%20&#1073;&#1102;&#1076;&#1078;&#1077;&#1090;&#1072;%202000%20&#1075;&#1086;&#1076;&#1072;/&#1060;&#1086;&#1088;"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public/&#1055;&#1083;&#1072;&#1085;&#1086;&#1074;&#1086;-&#1101;&#1082;&#1086;&#1085;&#1086;&#1084;&#1080;&#1095;&#1077;&#1089;&#1082;&#1086;&#1077;%20&#1091;&#1087;&#1088;&#1072;&#1074;&#1083;&#1077;&#1085;&#1080;&#1077;/&#1053;&#1086;&#1084;&#1077;&#1085;&#1082;&#1083;&#1072;&#1090;&#1091;&#1088;&#1072;%20&#1076;&#1077;&#1083;/06-07%20&#1055;&#1083;&#1072;&#1085;&#1099;%20&#1088;&#1072;&#1073;&#1086;&#1090;/&#1054;&#1090;&#1076;&#1077;&#1083;%20&#1092;&#1086;&#1088;&#1084;&#1080;&#1088;&#1086;&#1074;&#1072;&#1085;&#1080;&#1103;%20&#1090;&#1072;&#1088;&#1080;&#1092;&#1086;&#1074;/&#1047;&#1040;&#1065;&#1048;&#1058;&#1040;%202010%20&#1075;&#1086;&#1076;/&#1057;&#1086;&#1076;&#1077;&#1088;&#1078;&#1072;&#1085;&#1080;&#1077;%20&#1040;&#1044;&#1057;/DOCUME~1/BAISHE~1/LOCALS~1/Temp/Rar$DI39.3093/&#1058;&#1077;&#1087;&#1083;&#1086;%202008/temp/aytal/&#1052;&#1086;&#1080;%20&#1076;&#1086;&#1082;&#1091;&#1084;&#1077;&#1085;&#1090;&#1099;/2004/WI"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rver\Kontora\WINNT\Profiles\pfo_4\&#1056;&#1072;&#1073;&#1086;&#1095;&#1080;&#1081;%20&#1089;&#1090;&#1086;&#1083;\&#1050;&#1085;&#1080;&#1075;&#1072;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ublic/&#1071;&#1097;&#1080;&#1082;/&#1057;&#1074;&#1086;&#1076;%20&#1090;&#1077;&#1087;&#1083;&#1072;%202009%20&#1087;&#1083;&#1072;&#1085;/&#1090;&#1077;&#1087;&#1083;&#1086;%202009/Abyiskiy%20BALANCE.WARM.2009YE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1054;&#1060;&#1058;/&#1071;&#1097;&#1080;&#1082;/&#1057;&#1074;&#1086;&#1076;%20&#1090;&#1077;&#1087;&#1083;&#1072;%202009%20&#1087;&#1083;&#1072;&#1085;/&#1090;&#1077;&#1087;&#1083;&#1086;%202009/Abyiskiy%20BALANCE.WARM.2009YEA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Jokerman/Downloads/Documents%20and%20Settings/econ03/Local%20Settings/Temporary%20Internet%20Files/OLK132/Documents/&#1060;&#1080;&#1085;&#1072;&#1085;&#1089;&#1086;&#1074;&#1086;&#1077;%20&#1086;&#1079;&#1076;&#1086;&#1088;&#1086;&#1074;&#1083;&#1077;&#1085;&#1080;&#1077;/&#1060;&#1080;&#1085;&#1055;&#1083;&#1072;&#1085;&#1052;&#1086;&#1089;&#1082;&#1074;&#1072;/proekt/&#1041;&#1080;&#1079;&#1085;&#1077;&#1089;-&#1087;&#1083;&#1072;&#1085;&#1080;&#1088;&#1086;&#1074;&#1072;&#1085;&#1080;&#1077;/&#1087;&#1088;&#1086;&#1092;&#1080;&#1085;&#1087;&#1083;&#1072;&#1085;/&#1089;&#1087;&#1080;&#1089;&#1082;&#108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eo1\peo1hdd\&#1052;&#1086;&#1080;%20&#1076;&#1086;&#1082;&#1091;&#1084;&#1077;&#1085;&#1090;&#1099;\&#1064;&#1090;&#1072;&#1090;&#1085;&#1086;&#107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leptsov\&#1071;&#1097;&#1080;&#1082;\&#1071;&#1069;\2010\&#1087;&#1088;&#1086;&#1090;&#1086;&#1082;&#1086;&#1083;%20&#1071;&#1069;\&#1055;&#1088;&#1080;&#1083;&#1086;&#1078;&#1077;&#1085;&#1080;&#1103;%20&#1082;%20&#1087;&#1088;&#1086;&#1090;&#1086;&#1082;&#1086;&#1083;&#109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irkov\&#1071;&#1097;&#1080;&#1082;\Documents%20and%20Settings\&#1053;&#1086;&#1074;&#1099;&#1081;\&#1056;&#1072;&#1073;&#1086;&#1095;&#1080;&#1081;%20&#1089;&#1090;&#1086;&#1083;\&#1041;&#1048;&#1047;&#1053;&#1045;&#1057;_&#1055;&#1051;&#1040;&#1053;&#1067;%202007%20&#1075;\&#1087;&#1088;&#1086;&#1075;&#1085;&#1086;&#1079;2000%20&#1052;&#1046;&#1050;&#1061;\&#1060;&#1086;&#1088;&#1084;&#1099;%20&#1052;&#1046;&#1050;&#1061;-Office97\&#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buh\&#1052;&#1086;&#1080;%20&#1076;&#1086;&#1082;&#1091;&#1084;&#1077;&#1085;&#1090;&#1099;\&#1060;&#1086;&#1088;&#1084;&#1099;%20&#1052;&#1046;&#1050;&#1061;-Office97\&#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to-2\PTO%20(C)\&#1052;&#1086;&#1080;%20&#1076;&#1086;&#1082;&#1091;&#1084;&#1077;&#1085;&#1090;&#1099;\&#1060;&#1086;&#1088;&#1084;&#1099;%20&#1052;&#1046;&#1050;&#1061;-Office97\&#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Public/Documents%20and%20Settings/Mihaleva_YV/&#1056;&#1072;&#1073;&#1086;&#1095;&#1080;&#1081;%20&#1089;&#1090;&#1086;&#1083;/&#1056;&#1069;&#1050;%20&#1089;&#1086;&#1075;&#1083;&#1072;&#1089;&#1086;&#1074;&#1072;&#1085;&#1085;&#1099;&#1077;%20&#1087;&#1086;&#1090;&#1077;&#1088;&#1080;%20&#1090;.&#1089;&#1077;&#1090;&#1077;&#1081;/&#1095;&#1077;&#1075;&#1086;%20&#1085;&#1077;&#1093;&#1074;&#1072;&#1090;&#1072;&#1077;&#1090;%20&#1087;&#1086;%20&#1089;&#1093;&#1077;&#1084;&#1072;&#108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public/Temp/&#1042;&#1077;&#1088;&#1086;&#1085;&#1080;&#1082;&#1072;/&#1055;&#1083;&#1072;&#1085;&#1086;&#1074;&#1086;-&#1101;&#1082;&#1086;&#1085;&#1086;&#1084;&#1080;&#1095;&#1077;&#1089;&#1082;&#1086;&#1077;%20&#1091;&#1087;&#1088;&#1072;&#1074;&#1083;&#1077;&#1085;&#1080;&#1077;/&#1053;&#1086;&#1084;&#1077;&#1085;&#1082;&#1083;&#1072;&#1090;&#1091;&#1088;&#1072;%20&#1076;&#1077;&#1083;/06-07%20&#1055;&#1083;&#1072;&#1085;&#1099;%20&#1088;&#1072;&#1073;&#1086;&#1090;/&#1054;&#1090;&#1076;&#1077;&#1083;%20&#1092;&#1086;&#1088;&#1084;&#1080;&#1088;&#1086;&#1074;&#1072;&#1085;&#1080;&#1103;%20&#1090;&#1072;&#1088;&#1080;&#1092;&#1086;&#1074;/&#1040;&#1053;&#1040;&#1051;&#1048;&#1047;%20&#1057;&#1045;&#1041;&#1045;&#1057;&#1058;&#1054;&#1048;&#1052;&#1054;&#1057;&#1058;&#1048;%202007%20&#1075;/Documents%20and%20Settings/Stepanova_LI/&#1052;&#1086;&#1080;%20&#1076;&#1086;&#1082;&#1091;&#1084;&#1077;&#1085;&#1090;&#1099;/&#1040;&#1083;&#1083;&#1072;/&#1056;&#1072;&#1079;&#1085;&#1086;&#1077;/&#1054;&#1090;&#1085;&#1077;&#1089;&#1077;&#1085;&#1080;&#1077;%20&#1086;&#1073;&#1097;&#1077;&#1093;&#1086;&#1079;"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Public/Documents%20and%20Settings/&#1040;&#1076;&#1084;&#1080;&#1085;&#1080;&#1089;&#1090;&#1088;&#1072;&#1090;&#1086;&#1088;/&#1056;&#1072;&#1073;&#1086;&#1095;&#1080;&#1081;%20&#1089;&#1090;&#1086;&#1083;/&#1060;&#1080;&#1085;&#1082;/&#1058;&#1072;&#1088;&#1080;&#1092;%202008%20&#1075;&#1086;&#1076;/WINDOWS/&#1056;&#1072;&#1073;&#1086;&#1095;&#1080;&#1081;%20&#1089;&#1090;&#1086;&#1083;/&#1055;&#1083;&#1072;&#1085;%202001/&#1047;&#1072;&#1097;&#1080;&#1090;&#1072;%202001/&#1052;&#1086;&#1080;%20&#1076;&#1086;&#1082;&#1091;&#1084;&#1077;&#1085;&#1090;&#1099;/&#1055;&#1086;&#1076;&#1075;&#1086;&#1090;&#1086;&#1074;&#1082;&#1072;%20&#1082;%20&#1079;&#1072;&#1097;&#1080;&#1090;&#1077;%20&#1073;&#1102;&#1076;&#1078;&#1077;&#1090;&#1072;%202000%20&#1075;&#1086;&#1076;&#1072;/&#1060;&#1086;&#1088;&#1084;&#1099;%20&#1080;&#1089;&#1093;&#1086;&#1076;&#1085;&#1099;&#1093;%20&#1076;&#1072;&#1085;&#1085;&#1099;&#1093;/&#1060;&#1080;&#1085;&#1072;&#1085;&#1089;&#1086;&#1074;&#1086;-&#1101;&#1082;&#1086;&#1085;&#1086;&#1084;&#1080;&#1095;&#1077;&#1089;&#1082;&#1086;&#1077;%20&#1091;&#1087;&#1088;&#1072;&#1074;&#1083;&#1077;&#1085;&#1080;&#1077;/&#1057;&#1087;&#1088;&#1072;&#1074;&#1086;&#1095;&#1085;&#1080;&#1082;&#108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public/Documents%20and%20Settings/user/&#1052;&#1086;&#1080;%20&#1076;&#1086;&#1082;&#1091;&#1084;&#1077;&#1085;&#1090;&#1099;/&#1079;&#1072;&#1097;&#1080;&#1090;&#1072;%202008/&#1090;&#1077;&#1087;&#1083;&#1086;%202008/Documents%20and%20Settings/user/&#1056;&#1072;&#1073;&#1086;&#1095;&#1080;&#1081;%20&#1089;&#1090;&#1086;&#1083;/Documents%20and%20Settings/&#1040;&#1076;&#1084;&#1080;&#1085;&#1080;&#1089;&#1090;&#1088;&#1072;&#1090;&#1086;&#1088;/&#1056;&#1072;&#1073;&#1086;&#1095;&#1080;&#1081;%20&#1089;&#1090;&#1086;&#1083;/&#1060;&#1080;&#1085;&#1082;/&#1058;&#1072;&#1088;&#1080;&#1092;%202008%20&#1075;&#1086;&#1076;/WINDOWS/&#1056;&#1072;&#1073;&#1086;&#1095;&#1080;&#1081;%20&#1089;&#1090;&#1086;&#1083;/&#1055;&#1083;&#1072;&#1085;%202001/&#1047;&#1072;&#1097;&#1080;&#1090;"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1058;&#1072;&#1085;&#1103;/Downloads/&#1044;&#1086;&#1082;&#1091;&#1084;&#1077;&#1085;&#1090;&#1099;/&#1058;&#1069;&#1054;,&#1087;&#1083;&#1072;&#1085;&#1099;/&#1047;&#1072;&#1093;&#1072;&#1088;&#1086;&#1074;%20&#1057;&#1053;%20&#1050;&#1086;&#1086;&#1087;&#1077;&#1088;&#1072;&#1090;&#1080;&#1074;/&#1056;&#1072;&#1089;&#1095;&#1077;&#1090;%20&#1085;&#1072;%205%20&#1083;&#1077;&#1090;%202018-202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user/Desktop/&#1050;&#1056;&#1057;%20&#1084;&#1084;/&#1064;&#1072;&#1073;&#1083;&#1086;&#1085;%20&#1088;&#1072;&#1089;&#1095;&#1077;&#1090;&#1086;&#1074;%20&#1041;&#1055;%20%20&#1050;&#1056;&#1057;&#1084;&#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нига3"/>
      <sheetName val="F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Cover"/>
      <sheetName val="Form 1"/>
      <sheetName val="Form 2"/>
      <sheetName val="Cost Comparison"/>
      <sheetName val="Synthes Form"/>
      <sheetName val="Documentation"/>
    </sheetNames>
    <sheetDataSet>
      <sheetData sheetId="0">
        <row r="19">
          <cell r="I19">
            <v>1</v>
          </cell>
          <cell r="J19">
            <v>1101</v>
          </cell>
          <cell r="K19" t="str">
            <v>Land built-up</v>
          </cell>
          <cell r="L19" t="str">
            <v>N/A</v>
          </cell>
          <cell r="M19">
            <v>0</v>
          </cell>
        </row>
        <row r="20">
          <cell r="I20">
            <v>2</v>
          </cell>
          <cell r="J20">
            <v>1102</v>
          </cell>
          <cell r="K20" t="str">
            <v>Land empty</v>
          </cell>
          <cell r="L20" t="str">
            <v>N/A</v>
          </cell>
          <cell r="M20">
            <v>0</v>
          </cell>
        </row>
        <row r="21">
          <cell r="I21">
            <v>3</v>
          </cell>
          <cell r="J21">
            <v>1201</v>
          </cell>
          <cell r="K21" t="str">
            <v>Exterior lighting</v>
          </cell>
          <cell r="L21">
            <v>30</v>
          </cell>
          <cell r="M21">
            <v>3.3333333333333333E-2</v>
          </cell>
        </row>
        <row r="22">
          <cell r="I22">
            <v>4</v>
          </cell>
          <cell r="J22">
            <v>1202</v>
          </cell>
          <cell r="K22" t="str">
            <v>Site utilities</v>
          </cell>
          <cell r="L22">
            <v>30</v>
          </cell>
          <cell r="M22">
            <v>3.3333333333333333E-2</v>
          </cell>
        </row>
        <row r="23">
          <cell r="I23">
            <v>5</v>
          </cell>
          <cell r="J23">
            <v>1203</v>
          </cell>
          <cell r="K23" t="str">
            <v>Exterior signage</v>
          </cell>
          <cell r="L23">
            <v>20</v>
          </cell>
          <cell r="M23">
            <v>0.05</v>
          </cell>
        </row>
        <row r="24">
          <cell r="I24">
            <v>6</v>
          </cell>
          <cell r="J24">
            <v>1204</v>
          </cell>
          <cell r="K24" t="str">
            <v>Landscaping</v>
          </cell>
          <cell r="L24">
            <v>20</v>
          </cell>
          <cell r="M24">
            <v>0.05</v>
          </cell>
        </row>
        <row r="25">
          <cell r="I25">
            <v>7</v>
          </cell>
          <cell r="J25">
            <v>1205</v>
          </cell>
          <cell r="K25" t="str">
            <v>Parking lots</v>
          </cell>
          <cell r="L25">
            <v>20</v>
          </cell>
          <cell r="M25">
            <v>0.05</v>
          </cell>
        </row>
        <row r="26">
          <cell r="I26">
            <v>8</v>
          </cell>
          <cell r="J26">
            <v>1206</v>
          </cell>
          <cell r="K26" t="str">
            <v>Side walks</v>
          </cell>
          <cell r="L26">
            <v>20</v>
          </cell>
          <cell r="M26">
            <v>0.05</v>
          </cell>
        </row>
        <row r="27">
          <cell r="I27">
            <v>9</v>
          </cell>
          <cell r="J27">
            <v>1301</v>
          </cell>
          <cell r="K27" t="str">
            <v>Office buildings</v>
          </cell>
          <cell r="L27">
            <v>40</v>
          </cell>
          <cell r="M27">
            <v>2.5000000000000001E-2</v>
          </cell>
        </row>
        <row r="28">
          <cell r="I28">
            <v>10</v>
          </cell>
          <cell r="J28">
            <v>1302</v>
          </cell>
          <cell r="K28" t="str">
            <v>Production buildings</v>
          </cell>
          <cell r="L28">
            <v>30</v>
          </cell>
          <cell r="M28">
            <v>3.3333333333333333E-2</v>
          </cell>
        </row>
        <row r="29">
          <cell r="I29">
            <v>11</v>
          </cell>
          <cell r="J29">
            <v>1303</v>
          </cell>
          <cell r="K29" t="str">
            <v>Building improvements</v>
          </cell>
          <cell r="L29">
            <v>10</v>
          </cell>
          <cell r="M29">
            <v>0.1</v>
          </cell>
        </row>
        <row r="30">
          <cell r="I30">
            <v>12</v>
          </cell>
          <cell r="J30">
            <v>1401</v>
          </cell>
          <cell r="K30" t="str">
            <v>Buildings - real estate</v>
          </cell>
          <cell r="L30">
            <v>30</v>
          </cell>
          <cell r="M30">
            <v>3.3333333333333333E-2</v>
          </cell>
        </row>
        <row r="31">
          <cell r="I31">
            <v>13</v>
          </cell>
          <cell r="J31">
            <v>1402</v>
          </cell>
          <cell r="K31" t="str">
            <v>Buildings - real estate improvements</v>
          </cell>
          <cell r="L31">
            <v>10</v>
          </cell>
          <cell r="M31">
            <v>0.1</v>
          </cell>
        </row>
        <row r="32">
          <cell r="I32">
            <v>14</v>
          </cell>
          <cell r="J32">
            <v>1500</v>
          </cell>
          <cell r="K32" t="str">
            <v>Leasehold improvements (Land and Buildings)</v>
          </cell>
          <cell r="L32">
            <v>20</v>
          </cell>
          <cell r="M32">
            <v>0.05</v>
          </cell>
        </row>
        <row r="33">
          <cell r="I33">
            <v>15</v>
          </cell>
          <cell r="J33">
            <v>1601</v>
          </cell>
          <cell r="K33" t="str">
            <v>Machines and fixtures</v>
          </cell>
          <cell r="L33">
            <v>7</v>
          </cell>
          <cell r="M33">
            <v>0.14285714285714285</v>
          </cell>
        </row>
        <row r="34">
          <cell r="I34">
            <v>16</v>
          </cell>
          <cell r="J34">
            <v>1602</v>
          </cell>
          <cell r="K34" t="str">
            <v>Machines and fixtures - furniture</v>
          </cell>
          <cell r="L34">
            <v>7</v>
          </cell>
          <cell r="M34">
            <v>0.14285714285714285</v>
          </cell>
        </row>
        <row r="35">
          <cell r="I35">
            <v>17</v>
          </cell>
          <cell r="J35">
            <v>1603</v>
          </cell>
          <cell r="K35" t="str">
            <v>Tools</v>
          </cell>
          <cell r="L35">
            <v>3</v>
          </cell>
          <cell r="M35">
            <v>0.33333333333333331</v>
          </cell>
        </row>
        <row r="36">
          <cell r="I36">
            <v>18</v>
          </cell>
          <cell r="J36">
            <v>1701</v>
          </cell>
          <cell r="K36" t="str">
            <v>Office furniture and equipment</v>
          </cell>
          <cell r="L36">
            <v>8</v>
          </cell>
          <cell r="M36">
            <v>0.125</v>
          </cell>
        </row>
        <row r="37">
          <cell r="I37">
            <v>19</v>
          </cell>
          <cell r="J37">
            <v>1702</v>
          </cell>
          <cell r="K37" t="str">
            <v>Mobile office furniture and equipment</v>
          </cell>
          <cell r="L37">
            <v>8</v>
          </cell>
          <cell r="M37">
            <v>0.125</v>
          </cell>
        </row>
        <row r="38">
          <cell r="I38">
            <v>20</v>
          </cell>
          <cell r="J38">
            <v>1800</v>
          </cell>
          <cell r="K38" t="str">
            <v>EDP equipment (Equipment and Vehicles)</v>
          </cell>
          <cell r="L38">
            <v>3</v>
          </cell>
          <cell r="M38">
            <v>0.33333333333333331</v>
          </cell>
        </row>
        <row r="39">
          <cell r="I39">
            <v>21</v>
          </cell>
          <cell r="J39">
            <v>1900</v>
          </cell>
          <cell r="K39" t="str">
            <v>EDP software (Equipment and Vehicles)</v>
          </cell>
          <cell r="L39">
            <v>3</v>
          </cell>
          <cell r="M39">
            <v>0.33333333333333331</v>
          </cell>
        </row>
        <row r="40">
          <cell r="I40">
            <v>22</v>
          </cell>
          <cell r="J40">
            <v>2000</v>
          </cell>
          <cell r="K40" t="str">
            <v>Vehicles (Equipment and Vehicles)</v>
          </cell>
          <cell r="L40">
            <v>3</v>
          </cell>
          <cell r="M40">
            <v>0.33333333333333331</v>
          </cell>
        </row>
        <row r="41">
          <cell r="I41">
            <v>23</v>
          </cell>
          <cell r="J41">
            <v>2200</v>
          </cell>
          <cell r="K41" t="str">
            <v>Loan sets (Inhouse products)</v>
          </cell>
          <cell r="L41">
            <v>3</v>
          </cell>
          <cell r="M41">
            <v>0.33333333333333331</v>
          </cell>
        </row>
        <row r="42">
          <cell r="I42">
            <v>24</v>
          </cell>
          <cell r="J42">
            <v>2300</v>
          </cell>
          <cell r="K42" t="str">
            <v>Instruments (Inhouse products)</v>
          </cell>
          <cell r="L42">
            <v>3</v>
          </cell>
          <cell r="M42">
            <v>0.33333333333333331</v>
          </cell>
        </row>
        <row r="43">
          <cell r="I43">
            <v>25</v>
          </cell>
          <cell r="J43">
            <v>2400</v>
          </cell>
          <cell r="K43" t="str">
            <v>Regional/Conventional Equipment (Inhouse products)</v>
          </cell>
          <cell r="L43">
            <v>3</v>
          </cell>
          <cell r="M43">
            <v>0.33333333333333331</v>
          </cell>
        </row>
        <row r="44">
          <cell r="I44">
            <v>26</v>
          </cell>
          <cell r="J44">
            <v>2500</v>
          </cell>
          <cell r="K44" t="str">
            <v>Course material/ equipment (Inhouse products)</v>
          </cell>
          <cell r="L44">
            <v>3</v>
          </cell>
          <cell r="M44">
            <v>0.33333333333333331</v>
          </cell>
        </row>
        <row r="45">
          <cell r="I45">
            <v>27</v>
          </cell>
          <cell r="J45">
            <v>2600</v>
          </cell>
          <cell r="K45" t="str">
            <v>Training material (Inhouse products)</v>
          </cell>
          <cell r="L45">
            <v>3</v>
          </cell>
          <cell r="M45">
            <v>0.33333333333333331</v>
          </cell>
        </row>
        <row r="46">
          <cell r="I46">
            <v>28</v>
          </cell>
          <cell r="J46">
            <v>2701</v>
          </cell>
          <cell r="K46" t="str">
            <v>Demo/sales samples (Inhouse products)</v>
          </cell>
          <cell r="L46">
            <v>3</v>
          </cell>
          <cell r="M46">
            <v>0.33333333333333331</v>
          </cell>
        </row>
        <row r="47">
          <cell r="I47">
            <v>29</v>
          </cell>
          <cell r="J47">
            <v>2801</v>
          </cell>
          <cell r="K47" t="str">
            <v>Goodwill</v>
          </cell>
          <cell r="L47" t="str">
            <v>N/A</v>
          </cell>
          <cell r="M47">
            <v>0</v>
          </cell>
        </row>
        <row r="48">
          <cell r="I48">
            <v>30</v>
          </cell>
          <cell r="J48">
            <v>2802</v>
          </cell>
          <cell r="K48" t="str">
            <v>Patents/licenses</v>
          </cell>
          <cell r="L48">
            <v>12</v>
          </cell>
          <cell r="M48">
            <v>8.3333333333333329E-2</v>
          </cell>
        </row>
        <row r="49">
          <cell r="I49">
            <v>31</v>
          </cell>
          <cell r="J49">
            <v>2900</v>
          </cell>
          <cell r="K49" t="str">
            <v>PPE under construction</v>
          </cell>
          <cell r="L49" t="str">
            <v>N/A</v>
          </cell>
          <cell r="M49">
            <v>0</v>
          </cell>
        </row>
        <row r="50">
          <cell r="I50">
            <v>32</v>
          </cell>
        </row>
        <row r="51">
          <cell r="I51">
            <v>33</v>
          </cell>
        </row>
        <row r="52">
          <cell r="I52">
            <v>34</v>
          </cell>
        </row>
        <row r="53">
          <cell r="I53">
            <v>35</v>
          </cell>
        </row>
        <row r="54">
          <cell r="I54">
            <v>36</v>
          </cell>
        </row>
      </sheetData>
      <sheetData sheetId="1"/>
      <sheetData sheetId="2"/>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правочники"/>
      <sheetName val="сбыт"/>
      <sheetName val="сети"/>
      <sheetName val="ЭСО"/>
      <sheetName val="Рег генер"/>
      <sheetName val="Баланс ээ"/>
      <sheetName val="Баланс мощности"/>
      <sheetName val="regs"/>
      <sheetName val="Регионы"/>
      <sheetName val="Лист1"/>
    </sheetNames>
    <sheetDataSet>
      <sheetData sheetId="0" refreshError="1"/>
      <sheetData sheetId="1" refreshError="1"/>
      <sheetData sheetId="2" refreshError="1"/>
      <sheetData sheetId="3" refreshError="1"/>
      <sheetData sheetId="4" refreshError="1">
        <row r="3">
          <cell r="E3" t="str">
            <v>Республика Саха (Якутия)</v>
          </cell>
        </row>
      </sheetData>
      <sheetData sheetId="5" refreshError="1"/>
      <sheetData sheetId="6" refreshError="1"/>
      <sheetData sheetId="7" refreshError="1"/>
      <sheetData sheetId="8" refreshError="1">
        <row r="13">
          <cell r="F13">
            <v>15941</v>
          </cell>
        </row>
        <row r="14">
          <cell r="F14">
            <v>61355</v>
          </cell>
        </row>
        <row r="15">
          <cell r="F15">
            <v>175603</v>
          </cell>
        </row>
        <row r="16">
          <cell r="F16">
            <v>882863</v>
          </cell>
        </row>
        <row r="17">
          <cell r="F17">
            <v>3842307</v>
          </cell>
        </row>
        <row r="18">
          <cell r="F18">
            <v>3837424</v>
          </cell>
        </row>
        <row r="19">
          <cell r="F19">
            <v>4883</v>
          </cell>
        </row>
        <row r="20">
          <cell r="F20">
            <v>391127</v>
          </cell>
        </row>
        <row r="21">
          <cell r="F21">
            <v>90765</v>
          </cell>
        </row>
        <row r="22">
          <cell r="F22">
            <v>436930</v>
          </cell>
        </row>
        <row r="23">
          <cell r="F23">
            <v>326319</v>
          </cell>
        </row>
        <row r="24">
          <cell r="F24">
            <v>6223210</v>
          </cell>
        </row>
        <row r="25">
          <cell r="F25">
            <v>0</v>
          </cell>
        </row>
        <row r="26">
          <cell r="F26">
            <v>0</v>
          </cell>
        </row>
        <row r="27">
          <cell r="F27">
            <v>6223210</v>
          </cell>
        </row>
        <row r="28">
          <cell r="F28">
            <v>0</v>
          </cell>
        </row>
        <row r="30">
          <cell r="F30">
            <v>0</v>
          </cell>
        </row>
        <row r="31">
          <cell r="F31">
            <v>19368</v>
          </cell>
        </row>
        <row r="32">
          <cell r="F32">
            <v>7796.5</v>
          </cell>
        </row>
        <row r="33">
          <cell r="F33">
            <v>188712.5</v>
          </cell>
        </row>
        <row r="35">
          <cell r="F35">
            <v>17424</v>
          </cell>
        </row>
        <row r="36">
          <cell r="F36">
            <v>169360</v>
          </cell>
        </row>
        <row r="37">
          <cell r="F37">
            <v>1858.5</v>
          </cell>
        </row>
        <row r="38">
          <cell r="F38">
            <v>70</v>
          </cell>
        </row>
        <row r="39">
          <cell r="F39">
            <v>53050.5</v>
          </cell>
        </row>
        <row r="40">
          <cell r="F40">
            <v>268927.5</v>
          </cell>
        </row>
        <row r="42">
          <cell r="F42">
            <v>0</v>
          </cell>
        </row>
        <row r="44">
          <cell r="F44">
            <v>6492137.5</v>
          </cell>
        </row>
        <row r="46">
          <cell r="F46">
            <v>3821.2640000000001</v>
          </cell>
        </row>
        <row r="48">
          <cell r="F48">
            <v>1698.9502688115765</v>
          </cell>
        </row>
      </sheetData>
      <sheetData sheetId="9" refreshError="1">
        <row r="12">
          <cell r="H12">
            <v>724.202</v>
          </cell>
          <cell r="I12">
            <v>3019.6779999999999</v>
          </cell>
        </row>
        <row r="13">
          <cell r="I13">
            <v>1027.6220000000001</v>
          </cell>
          <cell r="J13">
            <v>11.1</v>
          </cell>
        </row>
        <row r="14">
          <cell r="J14">
            <v>1759.3710000000001</v>
          </cell>
        </row>
        <row r="15">
          <cell r="G15">
            <v>4306.67</v>
          </cell>
          <cell r="H15">
            <v>0.12</v>
          </cell>
          <cell r="I15">
            <v>46.7</v>
          </cell>
          <cell r="J15">
            <v>42.107999999999997</v>
          </cell>
        </row>
        <row r="16">
          <cell r="H16">
            <v>526.04999999999995</v>
          </cell>
          <cell r="I16">
            <v>559.33000000000004</v>
          </cell>
        </row>
        <row r="17">
          <cell r="H17">
            <v>6</v>
          </cell>
          <cell r="I17">
            <v>81.900000000000006</v>
          </cell>
          <cell r="J17">
            <v>218.85</v>
          </cell>
        </row>
        <row r="18">
          <cell r="G18">
            <v>357.39</v>
          </cell>
          <cell r="H18">
            <v>35.49</v>
          </cell>
          <cell r="I18">
            <v>85.119</v>
          </cell>
          <cell r="J18">
            <v>157.81700000000001</v>
          </cell>
        </row>
        <row r="20">
          <cell r="G20">
            <v>3.8</v>
          </cell>
          <cell r="I20">
            <v>247.62</v>
          </cell>
          <cell r="J20">
            <v>15.243</v>
          </cell>
        </row>
        <row r="22">
          <cell r="G22">
            <v>201.6</v>
          </cell>
          <cell r="H22">
            <v>182.16</v>
          </cell>
          <cell r="I22">
            <v>2643.12</v>
          </cell>
          <cell r="J22">
            <v>1858.3689999999999</v>
          </cell>
        </row>
      </sheetData>
      <sheetData sheetId="10" refreshError="1">
        <row r="12">
          <cell r="H12">
            <v>87.76</v>
          </cell>
          <cell r="I12">
            <v>432.55</v>
          </cell>
        </row>
        <row r="13">
          <cell r="I13">
            <v>136.63999999999999</v>
          </cell>
          <cell r="J13">
            <v>1.4</v>
          </cell>
        </row>
        <row r="14">
          <cell r="J14">
            <v>278.24</v>
          </cell>
        </row>
        <row r="15">
          <cell r="G15">
            <v>601.24</v>
          </cell>
          <cell r="H15">
            <v>0.5</v>
          </cell>
          <cell r="I15">
            <v>5.71</v>
          </cell>
          <cell r="J15">
            <v>7.95</v>
          </cell>
        </row>
        <row r="16">
          <cell r="H16">
            <v>80.36</v>
          </cell>
          <cell r="I16">
            <v>75.290000000000006</v>
          </cell>
        </row>
        <row r="17">
          <cell r="H17">
            <v>0.8</v>
          </cell>
          <cell r="I17">
            <v>11.8</v>
          </cell>
          <cell r="J17">
            <v>29.7</v>
          </cell>
        </row>
        <row r="18">
          <cell r="G18">
            <v>42.74</v>
          </cell>
          <cell r="H18">
            <v>4.29</v>
          </cell>
          <cell r="I18">
            <v>21.71</v>
          </cell>
          <cell r="J18">
            <v>26.33</v>
          </cell>
        </row>
        <row r="20">
          <cell r="G20">
            <v>0.72</v>
          </cell>
          <cell r="I20">
            <v>38.840000000000003</v>
          </cell>
          <cell r="J20">
            <v>2.68</v>
          </cell>
        </row>
        <row r="22">
          <cell r="G22">
            <v>37.47</v>
          </cell>
          <cell r="H22">
            <v>27.09</v>
          </cell>
          <cell r="I22">
            <v>323.20999999999998</v>
          </cell>
          <cell r="J22">
            <v>288.27999999999997</v>
          </cell>
        </row>
      </sheetData>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Томская область1"/>
    </sheetNames>
    <sheetDataSet>
      <sheetData sheetId="0" refreshError="1">
        <row r="21">
          <cell r="B21" t="str">
            <v>EXP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анализ"/>
      <sheetName val="2005"/>
      <sheetName val="слтеплсет"/>
      <sheetName val="слесаря"/>
      <sheetName val="ИТР КХ"/>
      <sheetName val="Лист1"/>
      <sheetName val="ФОТ"/>
      <sheetName val=""/>
      <sheetName val="Титульный лист"/>
      <sheetName val="Распределение"/>
      <sheetName val="5 (тх) РЭК"/>
      <sheetName val="1(труд-вс) (трансп)"/>
      <sheetName val="9(тх)"/>
      <sheetName val="6(тх)"/>
      <sheetName val="1 тх"/>
      <sheetName val="Потери Москва"/>
      <sheetName val="НУРТ"/>
      <sheetName val="ТХ-7"/>
      <sheetName val="10(тх)"/>
      <sheetName val="2(вс)"/>
      <sheetName val="Новые объекты"/>
      <sheetName val="ИТР_КХ"/>
      <sheetName val="Титульный_лист"/>
      <sheetName val="5_(тх)_РЭК"/>
      <sheetName val="1(труд-вс)_(трансп)"/>
      <sheetName val="Тариф (4)"/>
      <sheetName val="Тариф (3)"/>
      <sheetName val="Тариф (2)"/>
      <sheetName val="Тариф максимум"/>
      <sheetName val="Тариф мин"/>
      <sheetName val="Тариф"/>
      <sheetName val="ЭСО"/>
      <sheetName val="1(ВС)"/>
      <sheetName val="FST5"/>
      <sheetName val="Объем"/>
      <sheetName val="Вспомогат(по месяцам)"/>
      <sheetName val="Вспомогат_по месяцам_"/>
      <sheetName val="ГВС"/>
      <sheetName val="Всего пр2"/>
      <sheetName val="Реестр"/>
      <sheetName val="Данные для расчетов В-колымск"/>
      <sheetName val="тепло 2"/>
      <sheetName val="кварталная кыстатем"/>
      <sheetName val="школа кыстатем"/>
      <sheetName val="квартальная бахынай"/>
      <sheetName val="Гараж бахынай"/>
      <sheetName val="администрация бестях"/>
      <sheetName val="школа бестях"/>
      <sheetName val="Жиганский"/>
      <sheetName val="СЛ7"/>
      <sheetName val="TEHSHEET"/>
      <sheetName val="Титульный"/>
      <sheetName val="REESTR_MO"/>
      <sheetName val="СЛ3"/>
      <sheetName val="Инструкция"/>
      <sheetName val="Кобяйс."/>
      <sheetName val="Алдан"/>
      <sheetName val="списки"/>
      <sheetName val="Пр 1.1 Отопл"/>
      <sheetName val="прил1"/>
      <sheetName val="Пр 1.2.1 (из СО) сент-дек"/>
      <sheetName val="0"/>
      <sheetName val="ОХЗ КТС"/>
      <sheetName val="REESTR"/>
      <sheetName val="(труд-ФОТ)"/>
      <sheetName val="амортизация"/>
      <sheetName val="3р"/>
      <sheetName val="5р"/>
      <sheetName val="хим.реагенты"/>
      <sheetName val="плата за воду в ЛБВУ"/>
      <sheetName val="ОТиТБ"/>
      <sheetName val="ПК"/>
      <sheetName val="СЭС"/>
    </sheetNames>
    <sheetDataSet>
      <sheetData sheetId="0" refreshError="1"/>
      <sheetData sheetId="1" refreshError="1"/>
      <sheetData sheetId="2" refreshError="1"/>
      <sheetData sheetId="3" refreshError="1"/>
      <sheetData sheetId="4" refreshError="1">
        <row r="5">
          <cell r="A5" t="str">
            <v>Уч №1</v>
          </cell>
          <cell r="B5" t="str">
            <v>Итого</v>
          </cell>
          <cell r="C5">
            <v>3.2052399999999999</v>
          </cell>
          <cell r="D5">
            <v>3.2052399999999999</v>
          </cell>
        </row>
        <row r="6">
          <cell r="A6" t="str">
            <v>Уч №1</v>
          </cell>
          <cell r="B6" t="str">
            <v>Слесари</v>
          </cell>
          <cell r="C6">
            <v>1.6988799999999997</v>
          </cell>
        </row>
        <row r="7">
          <cell r="A7" t="str">
            <v>Уч №1</v>
          </cell>
          <cell r="B7" t="str">
            <v>Сварщ</v>
          </cell>
          <cell r="C7">
            <v>1.7999999999999999E-2</v>
          </cell>
          <cell r="D7">
            <v>1.7168799999999997</v>
          </cell>
        </row>
        <row r="8">
          <cell r="A8" t="str">
            <v>Уч №1</v>
          </cell>
          <cell r="B8" t="str">
            <v>Эл/ки</v>
          </cell>
          <cell r="C8">
            <v>1.4563600000000001</v>
          </cell>
        </row>
        <row r="9">
          <cell r="A9" t="str">
            <v>Уч №1</v>
          </cell>
          <cell r="B9" t="str">
            <v>Форсунщик</v>
          </cell>
          <cell r="C9">
            <v>3.2000000000000001E-2</v>
          </cell>
          <cell r="D9">
            <v>1.4883600000000001</v>
          </cell>
        </row>
        <row r="10">
          <cell r="A10" t="str">
            <v>Уч №3</v>
          </cell>
          <cell r="B10" t="str">
            <v>Итого</v>
          </cell>
          <cell r="C10">
            <v>3.8553440000000001</v>
          </cell>
          <cell r="D10">
            <v>3.8553440000000001</v>
          </cell>
        </row>
        <row r="11">
          <cell r="A11" t="str">
            <v>Уч №3</v>
          </cell>
          <cell r="B11" t="str">
            <v>Слесари</v>
          </cell>
          <cell r="C11">
            <v>2.3704239999999999</v>
          </cell>
        </row>
        <row r="12">
          <cell r="A12" t="str">
            <v>Уч №3</v>
          </cell>
          <cell r="B12" t="str">
            <v>Сварщ</v>
          </cell>
          <cell r="C12">
            <v>1.7999999999999999E-2</v>
          </cell>
          <cell r="D12">
            <v>2.3884239999999997</v>
          </cell>
        </row>
        <row r="13">
          <cell r="A13" t="str">
            <v>Уч №3</v>
          </cell>
          <cell r="B13" t="str">
            <v>Эл/ки</v>
          </cell>
          <cell r="C13">
            <v>1.4221200000000005</v>
          </cell>
        </row>
        <row r="14">
          <cell r="A14" t="str">
            <v>Уч №3</v>
          </cell>
          <cell r="B14" t="str">
            <v>КИПиА</v>
          </cell>
          <cell r="C14">
            <v>4.4800000000000006E-2</v>
          </cell>
          <cell r="D14">
            <v>1.4669200000000004</v>
          </cell>
        </row>
        <row r="15">
          <cell r="A15" t="str">
            <v>Уч №4</v>
          </cell>
          <cell r="B15" t="str">
            <v>Итого</v>
          </cell>
          <cell r="C15">
            <v>3.1048360000000002</v>
          </cell>
          <cell r="D15">
            <v>3.1048359999999997</v>
          </cell>
        </row>
        <row r="16">
          <cell r="A16" t="str">
            <v>Уч №4</v>
          </cell>
          <cell r="B16" t="str">
            <v>Слесари</v>
          </cell>
          <cell r="C16">
            <v>2.2508159999999999</v>
          </cell>
        </row>
        <row r="17">
          <cell r="A17" t="str">
            <v>Уч №4</v>
          </cell>
          <cell r="B17" t="str">
            <v>Сварщ</v>
          </cell>
          <cell r="C17">
            <v>1.7999999999999999E-2</v>
          </cell>
          <cell r="D17">
            <v>2.2688159999999997</v>
          </cell>
        </row>
        <row r="18">
          <cell r="A18" t="str">
            <v>Уч №4</v>
          </cell>
          <cell r="B18" t="str">
            <v>Эл/ки</v>
          </cell>
          <cell r="C18">
            <v>0.79762000000000022</v>
          </cell>
        </row>
        <row r="19">
          <cell r="A19" t="str">
            <v>Уч №4</v>
          </cell>
          <cell r="B19" t="str">
            <v>КИПиА</v>
          </cell>
          <cell r="C19">
            <v>3.8400000000000004E-2</v>
          </cell>
          <cell r="D19">
            <v>0.83602000000000021</v>
          </cell>
        </row>
        <row r="20">
          <cell r="A20" t="str">
            <v>Уч №5</v>
          </cell>
          <cell r="B20" t="str">
            <v>Итого</v>
          </cell>
          <cell r="C20">
            <v>2.5946030000000002</v>
          </cell>
          <cell r="D20">
            <v>2.5946030000000002</v>
          </cell>
        </row>
        <row r="21">
          <cell r="A21" t="str">
            <v>Уч №5</v>
          </cell>
          <cell r="B21" t="str">
            <v>Слесари</v>
          </cell>
          <cell r="C21">
            <v>1.8124280000000002</v>
          </cell>
        </row>
        <row r="22">
          <cell r="A22" t="str">
            <v>Уч №5</v>
          </cell>
          <cell r="B22" t="str">
            <v>Сварщ</v>
          </cell>
          <cell r="C22">
            <v>5.3999999999999992E-2</v>
          </cell>
          <cell r="D22">
            <v>1.8664280000000002</v>
          </cell>
        </row>
        <row r="23">
          <cell r="A23" t="str">
            <v>Уч №5</v>
          </cell>
          <cell r="B23" t="str">
            <v>Эл/ки</v>
          </cell>
          <cell r="C23">
            <v>0.68977499999999992</v>
          </cell>
        </row>
        <row r="24">
          <cell r="A24" t="str">
            <v>Уч №5</v>
          </cell>
          <cell r="B24" t="str">
            <v>КИПиА</v>
          </cell>
          <cell r="C24">
            <v>3.8400000000000004E-2</v>
          </cell>
          <cell r="D24">
            <v>0.72817499999999991</v>
          </cell>
        </row>
        <row r="25">
          <cell r="A25" t="str">
            <v>д/сад №5</v>
          </cell>
          <cell r="B25" t="str">
            <v>Итого</v>
          </cell>
          <cell r="C25">
            <v>0.28756700000000002</v>
          </cell>
          <cell r="D25">
            <v>0.28756700000000002</v>
          </cell>
        </row>
        <row r="26">
          <cell r="A26" t="str">
            <v>д/сад №5</v>
          </cell>
          <cell r="B26" t="str">
            <v>Слесари</v>
          </cell>
          <cell r="C26">
            <v>0.15099200000000002</v>
          </cell>
        </row>
        <row r="27">
          <cell r="A27" t="str">
            <v>д/сад №5</v>
          </cell>
          <cell r="B27" t="str">
            <v>Сварщ</v>
          </cell>
          <cell r="C27">
            <v>0</v>
          </cell>
          <cell r="D27">
            <v>0.15099200000000002</v>
          </cell>
        </row>
        <row r="28">
          <cell r="A28" t="str">
            <v>д/сад №5</v>
          </cell>
          <cell r="B28" t="str">
            <v>Эл/ки</v>
          </cell>
          <cell r="C28">
            <v>0.126975</v>
          </cell>
        </row>
        <row r="29">
          <cell r="A29" t="str">
            <v>д/сад №5</v>
          </cell>
          <cell r="B29" t="str">
            <v>КИПиА</v>
          </cell>
          <cell r="C29">
            <v>9.6000000000000009E-3</v>
          </cell>
          <cell r="D29">
            <v>0.136575</v>
          </cell>
        </row>
        <row r="30">
          <cell r="A30" t="str">
            <v>Гимназ</v>
          </cell>
          <cell r="B30" t="str">
            <v>Итого</v>
          </cell>
          <cell r="C30">
            <v>0.83364000000000005</v>
          </cell>
          <cell r="D30">
            <v>0.83364000000000016</v>
          </cell>
        </row>
        <row r="31">
          <cell r="A31" t="str">
            <v>Гимназ</v>
          </cell>
          <cell r="B31" t="str">
            <v>Слесари</v>
          </cell>
          <cell r="C31">
            <v>0.36556</v>
          </cell>
        </row>
        <row r="32">
          <cell r="A32" t="str">
            <v>Гимназ</v>
          </cell>
          <cell r="B32" t="str">
            <v>Сварщ</v>
          </cell>
          <cell r="C32">
            <v>1.7999999999999999E-2</v>
          </cell>
          <cell r="D32">
            <v>0.38356000000000001</v>
          </cell>
        </row>
        <row r="33">
          <cell r="A33" t="str">
            <v>Гимназ</v>
          </cell>
          <cell r="B33" t="str">
            <v>Эл/ки</v>
          </cell>
          <cell r="C33">
            <v>0.4308800000000001</v>
          </cell>
        </row>
        <row r="34">
          <cell r="A34" t="str">
            <v>Гимназ</v>
          </cell>
          <cell r="B34" t="str">
            <v>КИПиА</v>
          </cell>
          <cell r="C34">
            <v>1.9200000000000002E-2</v>
          </cell>
          <cell r="D34">
            <v>0.45008000000000009</v>
          </cell>
        </row>
        <row r="35">
          <cell r="A35" t="str">
            <v>Тубб</v>
          </cell>
          <cell r="B35" t="str">
            <v>Итого</v>
          </cell>
          <cell r="C35">
            <v>1.0766500000000001</v>
          </cell>
          <cell r="D35">
            <v>1.0766499999999999</v>
          </cell>
        </row>
        <row r="36">
          <cell r="A36" t="str">
            <v>Тубб</v>
          </cell>
          <cell r="B36" t="str">
            <v>Слесари</v>
          </cell>
          <cell r="C36">
            <v>0.57247999999999999</v>
          </cell>
        </row>
        <row r="37">
          <cell r="A37" t="str">
            <v>Тубб</v>
          </cell>
          <cell r="B37" t="str">
            <v>Сварщ</v>
          </cell>
          <cell r="C37">
            <v>1.7999999999999999E-2</v>
          </cell>
          <cell r="D37">
            <v>0.59048</v>
          </cell>
        </row>
        <row r="38">
          <cell r="A38" t="str">
            <v>Тубб</v>
          </cell>
          <cell r="B38" t="str">
            <v>Эл/ки</v>
          </cell>
          <cell r="C38">
            <v>0.46697</v>
          </cell>
        </row>
        <row r="39">
          <cell r="A39" t="str">
            <v>Тубб</v>
          </cell>
          <cell r="B39" t="str">
            <v>КИПиА</v>
          </cell>
          <cell r="C39">
            <v>1.9200000000000002E-2</v>
          </cell>
          <cell r="D39">
            <v>0.48616999999999999</v>
          </cell>
        </row>
        <row r="40">
          <cell r="A40">
            <v>1</v>
          </cell>
          <cell r="B40" t="str">
            <v>Итого</v>
          </cell>
          <cell r="C40">
            <v>14.957880000000003</v>
          </cell>
        </row>
        <row r="41">
          <cell r="A41">
            <v>1</v>
          </cell>
          <cell r="B41" t="str">
            <v>Слесари</v>
          </cell>
          <cell r="C41">
            <v>9.2215800000000012</v>
          </cell>
        </row>
        <row r="42">
          <cell r="A42">
            <v>1</v>
          </cell>
          <cell r="B42" t="str">
            <v>Сварщ</v>
          </cell>
          <cell r="C42">
            <v>0.14399999999999996</v>
          </cell>
          <cell r="D42">
            <v>9.3655800000000013</v>
          </cell>
        </row>
        <row r="43">
          <cell r="A43">
            <v>1</v>
          </cell>
          <cell r="B43" t="str">
            <v>Эл/ки</v>
          </cell>
          <cell r="C43">
            <v>5.3907000000000007</v>
          </cell>
        </row>
        <row r="44">
          <cell r="A44">
            <v>1</v>
          </cell>
          <cell r="B44" t="str">
            <v>КИПиА</v>
          </cell>
          <cell r="C44">
            <v>0.2016</v>
          </cell>
          <cell r="D44">
            <v>5.5923000000000007</v>
          </cell>
        </row>
        <row r="45">
          <cell r="A45" t="str">
            <v>Быракан</v>
          </cell>
          <cell r="B45" t="str">
            <v>Итого</v>
          </cell>
          <cell r="C45">
            <v>1.7962500000000003</v>
          </cell>
        </row>
        <row r="46">
          <cell r="A46" t="str">
            <v>Быракан</v>
          </cell>
          <cell r="B46" t="str">
            <v>Слесари</v>
          </cell>
          <cell r="C46">
            <v>1.4302800000000002</v>
          </cell>
        </row>
        <row r="47">
          <cell r="A47" t="str">
            <v>Быракан</v>
          </cell>
          <cell r="B47" t="str">
            <v>Сварщ</v>
          </cell>
          <cell r="C47">
            <v>1.7999999999999999E-2</v>
          </cell>
          <cell r="D47">
            <v>1.4482800000000002</v>
          </cell>
        </row>
        <row r="48">
          <cell r="A48" t="str">
            <v>Быракан</v>
          </cell>
          <cell r="B48" t="str">
            <v>Эл/ки</v>
          </cell>
          <cell r="C48">
            <v>0.30957000000000001</v>
          </cell>
        </row>
        <row r="49">
          <cell r="A49" t="str">
            <v>Быракан</v>
          </cell>
          <cell r="B49" t="str">
            <v>КИПиА</v>
          </cell>
          <cell r="C49">
            <v>3.8400000000000004E-2</v>
          </cell>
          <cell r="D49">
            <v>0.34797</v>
          </cell>
        </row>
        <row r="50">
          <cell r="A50" t="str">
            <v>Балаганнах</v>
          </cell>
          <cell r="B50" t="str">
            <v>Итого</v>
          </cell>
          <cell r="C50">
            <v>0.55057</v>
          </cell>
        </row>
        <row r="51">
          <cell r="A51" t="str">
            <v>Балаганнах</v>
          </cell>
          <cell r="B51" t="str">
            <v>Слесари</v>
          </cell>
          <cell r="C51">
            <v>0.32938000000000006</v>
          </cell>
        </row>
        <row r="52">
          <cell r="A52" t="str">
            <v>Балаганнах</v>
          </cell>
          <cell r="B52" t="str">
            <v>Сварщ</v>
          </cell>
          <cell r="C52">
            <v>1.7999999999999999E-2</v>
          </cell>
          <cell r="D52">
            <v>0.34738000000000008</v>
          </cell>
        </row>
        <row r="53">
          <cell r="A53" t="str">
            <v>Балаганнах</v>
          </cell>
          <cell r="B53" t="str">
            <v>Эл/ки</v>
          </cell>
          <cell r="C53">
            <v>0.19678999999999999</v>
          </cell>
        </row>
        <row r="54">
          <cell r="A54" t="str">
            <v>Балаганнах</v>
          </cell>
          <cell r="B54" t="str">
            <v>КИПиА</v>
          </cell>
          <cell r="C54">
            <v>6.4000000000000003E-3</v>
          </cell>
          <cell r="D54">
            <v>0.20318999999999998</v>
          </cell>
        </row>
        <row r="55">
          <cell r="A55" t="str">
            <v>Едюгей</v>
          </cell>
          <cell r="B55" t="str">
            <v>Итого</v>
          </cell>
          <cell r="C55">
            <v>0.34585000000000005</v>
          </cell>
        </row>
        <row r="56">
          <cell r="A56" t="str">
            <v>Едюгей</v>
          </cell>
          <cell r="B56" t="str">
            <v>Слесари</v>
          </cell>
          <cell r="C56">
            <v>0.18738000000000002</v>
          </cell>
        </row>
        <row r="57">
          <cell r="A57" t="str">
            <v>Едюгей</v>
          </cell>
          <cell r="B57" t="str">
            <v>Сварщ</v>
          </cell>
          <cell r="C57">
            <v>1.7999999999999999E-2</v>
          </cell>
          <cell r="D57">
            <v>0.20538000000000001</v>
          </cell>
        </row>
        <row r="58">
          <cell r="A58" t="str">
            <v>Едюгей</v>
          </cell>
          <cell r="B58" t="str">
            <v>Эл/ки</v>
          </cell>
          <cell r="C58">
            <v>0.13406999999999999</v>
          </cell>
        </row>
        <row r="59">
          <cell r="A59" t="str">
            <v>Едюгей</v>
          </cell>
          <cell r="B59" t="str">
            <v>КИПиА</v>
          </cell>
          <cell r="C59">
            <v>6.4000000000000003E-3</v>
          </cell>
          <cell r="D59">
            <v>0.14046999999999998</v>
          </cell>
        </row>
        <row r="60">
          <cell r="A60" t="str">
            <v>Кентик</v>
          </cell>
          <cell r="B60" t="str">
            <v>Итого</v>
          </cell>
          <cell r="C60">
            <v>2.4222199999999998</v>
          </cell>
        </row>
        <row r="61">
          <cell r="A61" t="str">
            <v>Кентик</v>
          </cell>
          <cell r="B61" t="str">
            <v>Слесари</v>
          </cell>
          <cell r="C61">
            <v>1.7307599999999999</v>
          </cell>
        </row>
        <row r="62">
          <cell r="A62" t="str">
            <v>Кентик</v>
          </cell>
          <cell r="B62" t="str">
            <v>Сварщ</v>
          </cell>
          <cell r="C62">
            <v>1.7999999999999999E-2</v>
          </cell>
          <cell r="D62">
            <v>1.7487599999999999</v>
          </cell>
        </row>
        <row r="63">
          <cell r="A63" t="str">
            <v>Кентик</v>
          </cell>
          <cell r="B63" t="str">
            <v>Эл/ки</v>
          </cell>
          <cell r="C63">
            <v>0.64145999999999992</v>
          </cell>
        </row>
        <row r="64">
          <cell r="A64" t="str">
            <v>Кентик</v>
          </cell>
          <cell r="B64" t="str">
            <v>КИПиА</v>
          </cell>
          <cell r="C64">
            <v>3.2000000000000001E-2</v>
          </cell>
          <cell r="D64">
            <v>0.67345999999999995</v>
          </cell>
        </row>
        <row r="65">
          <cell r="A65" t="str">
            <v>Оргет</v>
          </cell>
          <cell r="B65" t="str">
            <v>Итого</v>
          </cell>
          <cell r="C65">
            <v>2.0066299999999999</v>
          </cell>
        </row>
        <row r="66">
          <cell r="A66" t="str">
            <v>Оргет</v>
          </cell>
          <cell r="B66" t="str">
            <v>Слесари</v>
          </cell>
          <cell r="C66">
            <v>1.643</v>
          </cell>
        </row>
        <row r="67">
          <cell r="A67" t="str">
            <v>Оргет</v>
          </cell>
          <cell r="B67" t="str">
            <v>Сварщ</v>
          </cell>
          <cell r="C67">
            <v>1.7999999999999999E-2</v>
          </cell>
          <cell r="D67">
            <v>1.661</v>
          </cell>
        </row>
        <row r="68">
          <cell r="A68" t="str">
            <v>Оргет</v>
          </cell>
          <cell r="B68" t="str">
            <v>Эл/ки</v>
          </cell>
          <cell r="C68">
            <v>0.32643000000000005</v>
          </cell>
        </row>
        <row r="69">
          <cell r="A69" t="str">
            <v>Оргет</v>
          </cell>
          <cell r="B69" t="str">
            <v>КИПиА</v>
          </cell>
          <cell r="C69">
            <v>1.9200000000000002E-2</v>
          </cell>
          <cell r="D69">
            <v>0.34563000000000005</v>
          </cell>
        </row>
        <row r="70">
          <cell r="A70" t="str">
            <v>Тамалакан</v>
          </cell>
          <cell r="B70" t="str">
            <v>Итого</v>
          </cell>
          <cell r="C70">
            <v>2.2696099999999997</v>
          </cell>
        </row>
        <row r="71">
          <cell r="A71" t="str">
            <v>Тамалакан</v>
          </cell>
          <cell r="B71" t="str">
            <v>Слесари</v>
          </cell>
          <cell r="C71">
            <v>1.81124</v>
          </cell>
        </row>
        <row r="72">
          <cell r="A72" t="str">
            <v>Тамалакан</v>
          </cell>
          <cell r="B72" t="str">
            <v>Сварщ</v>
          </cell>
          <cell r="C72">
            <v>1.7999999999999999E-2</v>
          </cell>
          <cell r="D72">
            <v>1.82924</v>
          </cell>
        </row>
        <row r="73">
          <cell r="A73" t="str">
            <v>Тамалакан</v>
          </cell>
          <cell r="B73" t="str">
            <v>Эл/ки</v>
          </cell>
          <cell r="C73">
            <v>0.41477000000000003</v>
          </cell>
        </row>
        <row r="74">
          <cell r="A74" t="str">
            <v>Тамалакан</v>
          </cell>
          <cell r="B74" t="str">
            <v>КИПиА</v>
          </cell>
          <cell r="C74">
            <v>2.5600000000000001E-2</v>
          </cell>
          <cell r="D74">
            <v>0.44037000000000004</v>
          </cell>
        </row>
        <row r="75">
          <cell r="A75" t="str">
            <v>Тобуя</v>
          </cell>
          <cell r="B75" t="str">
            <v>Итого</v>
          </cell>
          <cell r="C75">
            <v>2.1437900000000005</v>
          </cell>
        </row>
        <row r="76">
          <cell r="A76" t="str">
            <v>Тобуя</v>
          </cell>
          <cell r="B76" t="str">
            <v>Слесари</v>
          </cell>
          <cell r="C76">
            <v>1.7273600000000002</v>
          </cell>
        </row>
        <row r="77">
          <cell r="A77" t="str">
            <v>Тобуя</v>
          </cell>
          <cell r="B77" t="str">
            <v>Сварщ</v>
          </cell>
          <cell r="C77">
            <v>1.7999999999999999E-2</v>
          </cell>
          <cell r="D77">
            <v>1.7453600000000002</v>
          </cell>
        </row>
        <row r="78">
          <cell r="A78" t="str">
            <v>Тобуя</v>
          </cell>
          <cell r="B78" t="str">
            <v>Эл/ки</v>
          </cell>
          <cell r="C78">
            <v>0.36003000000000007</v>
          </cell>
        </row>
        <row r="79">
          <cell r="A79" t="str">
            <v>Тобуя</v>
          </cell>
          <cell r="B79" t="str">
            <v>КИПиА</v>
          </cell>
          <cell r="C79">
            <v>3.8400000000000004E-2</v>
          </cell>
          <cell r="D79">
            <v>0.39843000000000006</v>
          </cell>
        </row>
        <row r="80">
          <cell r="A80" t="str">
            <v>Харбалах</v>
          </cell>
          <cell r="B80" t="str">
            <v>Итого</v>
          </cell>
          <cell r="C80">
            <v>0.64063999999999988</v>
          </cell>
        </row>
        <row r="81">
          <cell r="A81" t="str">
            <v>Харбалах</v>
          </cell>
          <cell r="B81" t="str">
            <v>Слесари</v>
          </cell>
          <cell r="C81">
            <v>0.40651999999999994</v>
          </cell>
        </row>
        <row r="82">
          <cell r="A82" t="str">
            <v>Харбалах</v>
          </cell>
          <cell r="B82" t="str">
            <v>Сварщ</v>
          </cell>
          <cell r="C82">
            <v>1.7999999999999999E-2</v>
          </cell>
          <cell r="D82">
            <v>0.42451999999999995</v>
          </cell>
        </row>
        <row r="83">
          <cell r="A83" t="str">
            <v>Харбалах</v>
          </cell>
          <cell r="B83" t="str">
            <v>Эл/ки</v>
          </cell>
          <cell r="C83">
            <v>0.20971999999999999</v>
          </cell>
        </row>
        <row r="84">
          <cell r="A84" t="str">
            <v>Харбалах</v>
          </cell>
          <cell r="B84" t="str">
            <v>КИПиА</v>
          </cell>
          <cell r="C84">
            <v>6.4000000000000003E-3</v>
          </cell>
          <cell r="D84">
            <v>0.21611999999999998</v>
          </cell>
        </row>
        <row r="85">
          <cell r="A85" t="str">
            <v>Хоро</v>
          </cell>
          <cell r="B85" t="str">
            <v>Итого</v>
          </cell>
          <cell r="C85">
            <v>1.7197900000000002</v>
          </cell>
        </row>
        <row r="86">
          <cell r="A86" t="str">
            <v>Хоро</v>
          </cell>
          <cell r="B86" t="str">
            <v>Слесари</v>
          </cell>
          <cell r="C86">
            <v>1.02976</v>
          </cell>
        </row>
        <row r="87">
          <cell r="A87" t="str">
            <v>Хоро</v>
          </cell>
          <cell r="B87" t="str">
            <v>Сварщ</v>
          </cell>
          <cell r="C87">
            <v>1.7999999999999999E-2</v>
          </cell>
          <cell r="D87">
            <v>1.04776</v>
          </cell>
        </row>
        <row r="88">
          <cell r="A88" t="str">
            <v>Хоро</v>
          </cell>
          <cell r="B88" t="str">
            <v>Эл/ки</v>
          </cell>
          <cell r="C88">
            <v>0.65923000000000009</v>
          </cell>
        </row>
        <row r="89">
          <cell r="A89" t="str">
            <v>Хоро</v>
          </cell>
          <cell r="B89" t="str">
            <v>КИПиА</v>
          </cell>
          <cell r="C89">
            <v>1.2800000000000001E-2</v>
          </cell>
          <cell r="D89">
            <v>0.67203000000000013</v>
          </cell>
        </row>
        <row r="90">
          <cell r="A90" t="str">
            <v>Хомустах</v>
          </cell>
          <cell r="B90" t="str">
            <v>Итого</v>
          </cell>
          <cell r="C90">
            <v>0.62354999999999994</v>
          </cell>
        </row>
        <row r="91">
          <cell r="A91" t="str">
            <v>Хомустах</v>
          </cell>
          <cell r="B91" t="str">
            <v>Слесари</v>
          </cell>
          <cell r="C91">
            <v>0.42937999999999998</v>
          </cell>
        </row>
        <row r="92">
          <cell r="A92" t="str">
            <v>Хомустах</v>
          </cell>
          <cell r="B92" t="str">
            <v>Сварщ</v>
          </cell>
          <cell r="C92">
            <v>1.7999999999999999E-2</v>
          </cell>
          <cell r="D92">
            <v>0.44738</v>
          </cell>
        </row>
        <row r="93">
          <cell r="A93" t="str">
            <v>Хомустах</v>
          </cell>
          <cell r="B93" t="str">
            <v>Эл/ки</v>
          </cell>
          <cell r="C93">
            <v>0.16976999999999998</v>
          </cell>
        </row>
        <row r="94">
          <cell r="A94" t="str">
            <v>Хомустах</v>
          </cell>
          <cell r="B94" t="str">
            <v>КИПиА</v>
          </cell>
          <cell r="C94">
            <v>6.4000000000000003E-3</v>
          </cell>
          <cell r="D94">
            <v>0.17616999999999997</v>
          </cell>
        </row>
        <row r="95">
          <cell r="A95" t="str">
            <v>Сургулук</v>
          </cell>
          <cell r="B95" t="str">
            <v>Итого</v>
          </cell>
          <cell r="C95">
            <v>1.2018199999999999</v>
          </cell>
        </row>
        <row r="96">
          <cell r="A96" t="str">
            <v>Сургулук</v>
          </cell>
          <cell r="B96" t="str">
            <v>Слесари</v>
          </cell>
          <cell r="C96">
            <v>0.85576000000000008</v>
          </cell>
        </row>
        <row r="97">
          <cell r="A97" t="str">
            <v>Сургулук</v>
          </cell>
          <cell r="B97" t="str">
            <v>Сварщ</v>
          </cell>
          <cell r="C97">
            <v>1.7999999999999999E-2</v>
          </cell>
          <cell r="D97">
            <v>0.87376000000000009</v>
          </cell>
        </row>
        <row r="98">
          <cell r="A98" t="str">
            <v>Сургулук</v>
          </cell>
          <cell r="B98" t="str">
            <v>Эл/ки</v>
          </cell>
          <cell r="C98">
            <v>0.31525999999999993</v>
          </cell>
        </row>
        <row r="99">
          <cell r="A99" t="str">
            <v>Сургулук</v>
          </cell>
          <cell r="B99" t="str">
            <v>КИПиА</v>
          </cell>
          <cell r="C99">
            <v>1.2800000000000001E-2</v>
          </cell>
          <cell r="D99">
            <v>0.32805999999999991</v>
          </cell>
        </row>
        <row r="100">
          <cell r="A100" t="str">
            <v>Онхой</v>
          </cell>
          <cell r="B100" t="str">
            <v>Итого</v>
          </cell>
          <cell r="C100">
            <v>1.4999600000000004</v>
          </cell>
        </row>
        <row r="101">
          <cell r="A101" t="str">
            <v>Онхой</v>
          </cell>
          <cell r="B101" t="str">
            <v>Слесари</v>
          </cell>
          <cell r="C101">
            <v>1.0610000000000002</v>
          </cell>
        </row>
        <row r="102">
          <cell r="A102" t="str">
            <v>Онхой</v>
          </cell>
          <cell r="B102" t="str">
            <v>Сварщ</v>
          </cell>
          <cell r="C102">
            <v>1.7999999999999999E-2</v>
          </cell>
          <cell r="D102">
            <v>1.0790000000000002</v>
          </cell>
        </row>
        <row r="103">
          <cell r="A103" t="str">
            <v>Онхой</v>
          </cell>
          <cell r="B103" t="str">
            <v>Эл/ки</v>
          </cell>
          <cell r="C103">
            <v>0.40176000000000006</v>
          </cell>
        </row>
        <row r="104">
          <cell r="A104" t="str">
            <v>Онхой</v>
          </cell>
          <cell r="B104" t="str">
            <v>КИПиА</v>
          </cell>
          <cell r="C104">
            <v>1.9200000000000002E-2</v>
          </cell>
          <cell r="D104">
            <v>0.42096000000000006</v>
          </cell>
        </row>
        <row r="105">
          <cell r="A105" t="str">
            <v>Нам</v>
          </cell>
          <cell r="B105" t="str">
            <v>Итого</v>
          </cell>
          <cell r="C105">
            <v>2.6044100000000001</v>
          </cell>
        </row>
        <row r="106">
          <cell r="A106" t="str">
            <v>Нам</v>
          </cell>
          <cell r="B106" t="str">
            <v>Слесари</v>
          </cell>
          <cell r="C106">
            <v>1.80372</v>
          </cell>
        </row>
        <row r="107">
          <cell r="A107" t="str">
            <v>Нам</v>
          </cell>
          <cell r="B107" t="str">
            <v>Сварщ</v>
          </cell>
          <cell r="C107">
            <v>1.7999999999999999E-2</v>
          </cell>
          <cell r="D107">
            <v>1.82172</v>
          </cell>
        </row>
        <row r="108">
          <cell r="A108" t="str">
            <v>Нам</v>
          </cell>
          <cell r="B108" t="str">
            <v>Эл/ки</v>
          </cell>
          <cell r="C108">
            <v>0.7442899999999999</v>
          </cell>
        </row>
        <row r="109">
          <cell r="A109" t="str">
            <v>Нам</v>
          </cell>
          <cell r="B109" t="str">
            <v>КИПиА</v>
          </cell>
          <cell r="C109">
            <v>3.8400000000000004E-2</v>
          </cell>
          <cell r="D109">
            <v>0.78268999999999989</v>
          </cell>
        </row>
        <row r="110">
          <cell r="A110" t="str">
            <v>Меик</v>
          </cell>
          <cell r="B110" t="str">
            <v>Итого</v>
          </cell>
          <cell r="C110">
            <v>1.08633</v>
          </cell>
        </row>
        <row r="111">
          <cell r="A111" t="str">
            <v>Меик</v>
          </cell>
          <cell r="B111" t="str">
            <v>Слесари</v>
          </cell>
          <cell r="C111">
            <v>0.80376000000000003</v>
          </cell>
        </row>
        <row r="112">
          <cell r="A112" t="str">
            <v>Меик</v>
          </cell>
          <cell r="B112" t="str">
            <v>Сварщ</v>
          </cell>
          <cell r="C112">
            <v>1.7999999999999999E-2</v>
          </cell>
          <cell r="D112">
            <v>0.82176000000000005</v>
          </cell>
        </row>
        <row r="113">
          <cell r="A113" t="str">
            <v>Меик</v>
          </cell>
          <cell r="B113" t="str">
            <v>Эл/ки</v>
          </cell>
          <cell r="C113">
            <v>0.25176999999999999</v>
          </cell>
        </row>
        <row r="114">
          <cell r="A114" t="str">
            <v>Меик</v>
          </cell>
          <cell r="B114" t="str">
            <v>КИПиА</v>
          </cell>
          <cell r="C114">
            <v>1.2800000000000001E-2</v>
          </cell>
          <cell r="D114">
            <v>0.26456999999999997</v>
          </cell>
        </row>
        <row r="115">
          <cell r="A115" t="str">
            <v>Магасс</v>
          </cell>
          <cell r="B115" t="str">
            <v>Итого</v>
          </cell>
          <cell r="C115">
            <v>1.5032799999999999</v>
          </cell>
        </row>
        <row r="116">
          <cell r="A116" t="str">
            <v>Магасс</v>
          </cell>
          <cell r="B116" t="str">
            <v>Слесари</v>
          </cell>
          <cell r="C116">
            <v>1.08466</v>
          </cell>
        </row>
        <row r="117">
          <cell r="A117" t="str">
            <v>Магасс</v>
          </cell>
          <cell r="B117" t="str">
            <v>Сварщ</v>
          </cell>
          <cell r="C117">
            <v>1.7999999999999999E-2</v>
          </cell>
          <cell r="D117">
            <v>1.10266</v>
          </cell>
        </row>
        <row r="118">
          <cell r="A118" t="str">
            <v>Магасс</v>
          </cell>
          <cell r="B118" t="str">
            <v>Эл/ки</v>
          </cell>
          <cell r="C118">
            <v>0.37502000000000002</v>
          </cell>
        </row>
        <row r="119">
          <cell r="A119" t="str">
            <v>Магасс</v>
          </cell>
          <cell r="B119" t="str">
            <v>КИПиА</v>
          </cell>
          <cell r="C119">
            <v>2.5600000000000001E-2</v>
          </cell>
          <cell r="D119">
            <v>0.40062000000000003</v>
          </cell>
        </row>
        <row r="120">
          <cell r="A120" t="str">
            <v>Далыр</v>
          </cell>
          <cell r="B120" t="str">
            <v>Итого</v>
          </cell>
          <cell r="C120">
            <v>2.3551700000000002</v>
          </cell>
        </row>
        <row r="121">
          <cell r="A121" t="str">
            <v>Далыр</v>
          </cell>
          <cell r="B121" t="str">
            <v>Слесари</v>
          </cell>
          <cell r="C121">
            <v>1.5581800000000001</v>
          </cell>
        </row>
        <row r="122">
          <cell r="A122" t="str">
            <v>Далыр</v>
          </cell>
          <cell r="B122" t="str">
            <v>Сварщ</v>
          </cell>
          <cell r="C122">
            <v>1.7999999999999999E-2</v>
          </cell>
          <cell r="D122">
            <v>1.5761800000000001</v>
          </cell>
        </row>
        <row r="123">
          <cell r="A123" t="str">
            <v>Далыр</v>
          </cell>
          <cell r="B123" t="str">
            <v>Эл/ки</v>
          </cell>
          <cell r="C123">
            <v>0.74058999999999997</v>
          </cell>
        </row>
        <row r="124">
          <cell r="A124" t="str">
            <v>Далыр</v>
          </cell>
          <cell r="B124" t="str">
            <v>КИПиА</v>
          </cell>
          <cell r="C124">
            <v>3.8400000000000004E-2</v>
          </cell>
          <cell r="D124">
            <v>0.77898999999999996</v>
          </cell>
        </row>
        <row r="125">
          <cell r="A125" t="str">
            <v>Кырыкый</v>
          </cell>
          <cell r="B125" t="str">
            <v>Итого</v>
          </cell>
          <cell r="C125">
            <v>1.4104300000000001</v>
          </cell>
        </row>
        <row r="126">
          <cell r="A126" t="str">
            <v>Кырыкый</v>
          </cell>
          <cell r="B126" t="str">
            <v>Слесари</v>
          </cell>
          <cell r="C126">
            <v>0.97499999999999998</v>
          </cell>
        </row>
        <row r="127">
          <cell r="A127" t="str">
            <v>Кырыкый</v>
          </cell>
          <cell r="B127" t="str">
            <v>Сварщ</v>
          </cell>
          <cell r="C127">
            <v>1.7999999999999999E-2</v>
          </cell>
          <cell r="D127">
            <v>0.99299999999999999</v>
          </cell>
        </row>
        <row r="128">
          <cell r="A128" t="str">
            <v>Кырыкый</v>
          </cell>
          <cell r="B128" t="str">
            <v>Эл/ки</v>
          </cell>
          <cell r="C128">
            <v>0.39822999999999997</v>
          </cell>
        </row>
        <row r="129">
          <cell r="A129" t="str">
            <v>Кырыкый</v>
          </cell>
          <cell r="B129" t="str">
            <v>КИПиА</v>
          </cell>
          <cell r="C129">
            <v>1.9200000000000002E-2</v>
          </cell>
          <cell r="D129">
            <v>0.41742999999999997</v>
          </cell>
        </row>
        <row r="130">
          <cell r="A130" t="str">
            <v>Дюллюкю</v>
          </cell>
          <cell r="B130" t="str">
            <v>Итого</v>
          </cell>
          <cell r="C130">
            <v>2.1360699999999997</v>
          </cell>
        </row>
        <row r="131">
          <cell r="A131" t="str">
            <v>Дюллюкю</v>
          </cell>
          <cell r="B131" t="str">
            <v>Слесари</v>
          </cell>
          <cell r="C131">
            <v>1.51938</v>
          </cell>
        </row>
        <row r="132">
          <cell r="A132" t="str">
            <v>Дюллюкю</v>
          </cell>
          <cell r="B132" t="str">
            <v>Сварщ</v>
          </cell>
          <cell r="C132">
            <v>1.7999999999999999E-2</v>
          </cell>
          <cell r="D132">
            <v>1.53738</v>
          </cell>
        </row>
        <row r="133">
          <cell r="A133" t="str">
            <v>Дюллюкю</v>
          </cell>
          <cell r="B133" t="str">
            <v>Эл/ки</v>
          </cell>
          <cell r="C133">
            <v>0.57308999999999988</v>
          </cell>
        </row>
        <row r="134">
          <cell r="A134" t="str">
            <v>Дюллюкю</v>
          </cell>
          <cell r="B134" t="str">
            <v>КИПиА</v>
          </cell>
          <cell r="C134">
            <v>2.5600000000000001E-2</v>
          </cell>
          <cell r="D134">
            <v>0.59868999999999983</v>
          </cell>
        </row>
        <row r="135">
          <cell r="A135" t="str">
            <v>Ботулу</v>
          </cell>
          <cell r="B135" t="str">
            <v>Итого</v>
          </cell>
          <cell r="C135">
            <v>2.35318</v>
          </cell>
        </row>
        <row r="136">
          <cell r="A136" t="str">
            <v>Ботулу</v>
          </cell>
          <cell r="B136" t="str">
            <v>Слесари</v>
          </cell>
          <cell r="C136">
            <v>1.3084799999999999</v>
          </cell>
        </row>
        <row r="137">
          <cell r="A137" t="str">
            <v>Ботулу</v>
          </cell>
          <cell r="B137" t="str">
            <v>Сварщ</v>
          </cell>
          <cell r="C137">
            <v>1.7999999999999999E-2</v>
          </cell>
          <cell r="D137">
            <v>1.3264799999999999</v>
          </cell>
        </row>
        <row r="138">
          <cell r="A138" t="str">
            <v>Ботулу</v>
          </cell>
          <cell r="B138" t="str">
            <v>Эл/ки</v>
          </cell>
          <cell r="C138">
            <v>0.99470000000000003</v>
          </cell>
        </row>
        <row r="139">
          <cell r="A139" t="str">
            <v>Ботулу</v>
          </cell>
          <cell r="B139" t="str">
            <v>КИПиА</v>
          </cell>
          <cell r="C139">
            <v>3.2000000000000001E-2</v>
          </cell>
          <cell r="D139">
            <v>1.0266999999999999</v>
          </cell>
        </row>
        <row r="140">
          <cell r="A140" t="str">
            <v>Оросу</v>
          </cell>
          <cell r="B140" t="str">
            <v>Итого</v>
          </cell>
          <cell r="C140">
            <v>0.98233999999999999</v>
          </cell>
        </row>
        <row r="141">
          <cell r="A141" t="str">
            <v>Оросу</v>
          </cell>
          <cell r="B141" t="str">
            <v>Слесари</v>
          </cell>
          <cell r="C141">
            <v>0.48552000000000001</v>
          </cell>
        </row>
        <row r="142">
          <cell r="A142" t="str">
            <v>Оросу</v>
          </cell>
          <cell r="B142" t="str">
            <v>Сварщ</v>
          </cell>
          <cell r="C142">
            <v>1.7999999999999999E-2</v>
          </cell>
          <cell r="D142">
            <v>0.50351999999999997</v>
          </cell>
        </row>
        <row r="143">
          <cell r="A143" t="str">
            <v>Оросу</v>
          </cell>
          <cell r="B143" t="str">
            <v>Эл/ки</v>
          </cell>
          <cell r="C143">
            <v>0.47242000000000001</v>
          </cell>
        </row>
        <row r="144">
          <cell r="A144" t="str">
            <v>Оросу</v>
          </cell>
          <cell r="B144" t="str">
            <v>КИПиА</v>
          </cell>
          <cell r="C144">
            <v>6.4000000000000003E-3</v>
          </cell>
          <cell r="D144">
            <v>0.47882000000000002</v>
          </cell>
        </row>
        <row r="145">
          <cell r="A145">
            <v>2</v>
          </cell>
          <cell r="B145" t="str">
            <v>Итого</v>
          </cell>
          <cell r="C145">
            <v>31.651890000000002</v>
          </cell>
        </row>
        <row r="146">
          <cell r="A146">
            <v>2</v>
          </cell>
          <cell r="B146" t="str">
            <v>Слесари</v>
          </cell>
          <cell r="C146">
            <v>22.180520000000005</v>
          </cell>
          <cell r="D146">
            <v>11.776411232980669</v>
          </cell>
        </row>
        <row r="147">
          <cell r="A147">
            <v>2</v>
          </cell>
          <cell r="B147" t="str">
            <v>Сварщ</v>
          </cell>
          <cell r="C147">
            <v>0.36000000000000004</v>
          </cell>
          <cell r="D147">
            <v>22.540520000000004</v>
          </cell>
        </row>
        <row r="148">
          <cell r="A148">
            <v>2</v>
          </cell>
          <cell r="B148" t="str">
            <v>Эл/ки</v>
          </cell>
          <cell r="C148">
            <v>8.6889699999999976</v>
          </cell>
        </row>
        <row r="149">
          <cell r="A149">
            <v>2</v>
          </cell>
          <cell r="B149" t="str">
            <v>КИПиА</v>
          </cell>
          <cell r="C149">
            <v>0.42240000000000005</v>
          </cell>
          <cell r="D149">
            <v>9.1113699999999973</v>
          </cell>
        </row>
        <row r="150">
          <cell r="B150" t="str">
            <v>Итого</v>
          </cell>
          <cell r="C150">
            <v>46.609770000000005</v>
          </cell>
        </row>
        <row r="151">
          <cell r="A151">
            <v>3</v>
          </cell>
          <cell r="B151" t="str">
            <v>Слесари</v>
          </cell>
          <cell r="C151">
            <v>31.402100000000004</v>
          </cell>
        </row>
        <row r="152">
          <cell r="A152">
            <v>3</v>
          </cell>
          <cell r="B152" t="str">
            <v>Сварщ</v>
          </cell>
          <cell r="C152">
            <v>0.504</v>
          </cell>
          <cell r="D152">
            <v>31.906100000000006</v>
          </cell>
        </row>
        <row r="153">
          <cell r="A153">
            <v>3</v>
          </cell>
          <cell r="B153" t="str">
            <v>Эл/ки</v>
          </cell>
          <cell r="C153">
            <v>14.079669999999998</v>
          </cell>
        </row>
        <row r="154">
          <cell r="A154">
            <v>3</v>
          </cell>
          <cell r="B154" t="str">
            <v>КИПиА</v>
          </cell>
          <cell r="C154">
            <v>0.62400000000000011</v>
          </cell>
          <cell r="D154">
            <v>14.703669999999999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Таб 1"/>
      <sheetName val="Таб 2"/>
      <sheetName val="Таб 2.1"/>
      <sheetName val="Таб 2.2"/>
      <sheetName val="Таб 3"/>
      <sheetName val="Таб 3.1"/>
      <sheetName val="Таб 3.2"/>
      <sheetName val="Таб 4"/>
      <sheetName val="Таб 5"/>
      <sheetName val="Таб 6"/>
      <sheetName val="Таб 7"/>
      <sheetName val="Комментарии"/>
      <sheetName val="Проверка"/>
      <sheetName val="et_union"/>
      <sheetName val="TEHSHEET"/>
      <sheetName val="modHyp"/>
      <sheetName val="AllSheetsInThisWorkbook"/>
      <sheetName val="REESTR_ORG"/>
      <sheetName val="REESTR_FILTERED"/>
      <sheetName val="REESTR_MO"/>
      <sheetName val="modfrmReestr"/>
      <sheetName val="modCommandButton"/>
      <sheetName val="modReestr"/>
      <sheetName val="modProv"/>
    </sheetNames>
    <sheetDataSet>
      <sheetData sheetId="0" refreshError="1"/>
      <sheetData sheetId="1" refreshError="1">
        <row r="10">
          <cell r="F10" t="str">
            <v>2012</v>
          </cell>
        </row>
        <row r="14">
          <cell r="F14" t="str">
            <v>ГУП "ЖКХ РС(Я)" Вилюйский филиал</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9">
          <cell r="F19" t="str">
            <v xml:space="preserve">здания производственного назначения </v>
          </cell>
        </row>
        <row r="20">
          <cell r="F20" t="str">
            <v xml:space="preserve">здания непроизводственного назначения </v>
          </cell>
        </row>
        <row r="21">
          <cell r="F21" t="str">
            <v>здания вспомогательных цехов, АУП</v>
          </cell>
        </row>
        <row r="22">
          <cell r="F22" t="str">
            <v xml:space="preserve">оборудование </v>
          </cell>
        </row>
        <row r="23">
          <cell r="F23" t="str">
            <v xml:space="preserve">сети </v>
          </cell>
        </row>
      </sheetData>
      <sheetData sheetId="14" refreshError="1"/>
      <sheetData sheetId="15" refreshError="1"/>
      <sheetData sheetId="16" refreshError="1"/>
      <sheetData sheetId="17" refreshError="1">
        <row r="2">
          <cell r="C2" t="str">
            <v>2007</v>
          </cell>
        </row>
        <row r="3">
          <cell r="C3" t="str">
            <v>2008</v>
          </cell>
        </row>
        <row r="4">
          <cell r="C4" t="str">
            <v>2009</v>
          </cell>
        </row>
        <row r="5">
          <cell r="C5" t="str">
            <v>2010</v>
          </cell>
        </row>
        <row r="6">
          <cell r="C6" t="str">
            <v>2011</v>
          </cell>
        </row>
        <row r="7">
          <cell r="C7" t="str">
            <v>2012</v>
          </cell>
        </row>
        <row r="8">
          <cell r="C8" t="str">
            <v>2013</v>
          </cell>
        </row>
        <row r="9">
          <cell r="C9" t="str">
            <v>2014</v>
          </cell>
        </row>
        <row r="10">
          <cell r="C10" t="str">
            <v>2015</v>
          </cell>
        </row>
        <row r="11">
          <cell r="C11" t="str">
            <v>2016</v>
          </cell>
        </row>
        <row r="12">
          <cell r="C12" t="str">
            <v>2017</v>
          </cell>
        </row>
        <row r="13">
          <cell r="C13" t="str">
            <v>2018</v>
          </cell>
        </row>
        <row r="14">
          <cell r="C14" t="str">
            <v>2019</v>
          </cell>
        </row>
        <row r="15">
          <cell r="C15" t="str">
            <v>2020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Таб 1"/>
      <sheetName val="Таб 2"/>
      <sheetName val="Таб 2.1"/>
      <sheetName val="Таб 2.2"/>
      <sheetName val="Таб 3"/>
      <sheetName val="Таб 3.1"/>
      <sheetName val="Таб 3.2"/>
      <sheetName val="Таб 4"/>
      <sheetName val="Таб 5"/>
      <sheetName val="Таб 6"/>
      <sheetName val="Таб 7"/>
      <sheetName val="Комментарии"/>
      <sheetName val="Проверка"/>
      <sheetName val="et_union"/>
      <sheetName val="TEHSHEET"/>
      <sheetName val="modHyp"/>
      <sheetName val="AllSheetsInThisWorkbook"/>
      <sheetName val="REESTR_ORG"/>
      <sheetName val="REESTR_FILTERED"/>
      <sheetName val="REESTR_MO"/>
      <sheetName val="modfrmReestr"/>
      <sheetName val="modCommandButton"/>
      <sheetName val="modReestr"/>
      <sheetName val="modProv"/>
    </sheetNames>
    <sheetDataSet>
      <sheetData sheetId="0" refreshError="1">
        <row r="3">
          <cell r="G3" t="str">
            <v>Версия 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row r="2">
          <cell r="D2" t="str">
            <v>да</v>
          </cell>
          <cell r="I2" t="str">
            <v>буртовка угля с перемещением до 10 м</v>
          </cell>
          <cell r="K2" t="str">
            <v>Зырянский уголь</v>
          </cell>
        </row>
        <row r="3">
          <cell r="D3" t="str">
            <v>нет</v>
          </cell>
          <cell r="I3" t="str">
            <v>буртовка угля с перемещением до 20 м</v>
          </cell>
          <cell r="K3" t="str">
            <v>Нерюнгринский уголь</v>
          </cell>
        </row>
        <row r="4">
          <cell r="I4" t="str">
            <v>буртовка угля с перемещением до 30 м</v>
          </cell>
          <cell r="K4" t="str">
            <v>Харбалахский уголь</v>
          </cell>
        </row>
        <row r="5">
          <cell r="I5" t="str">
            <v>буртовка угля с перемещением до 40 м</v>
          </cell>
          <cell r="K5" t="str">
            <v>Джебарики-Хаинский  уголь</v>
          </cell>
        </row>
        <row r="6">
          <cell r="I6" t="str">
            <v>буртовка угля с перемещением до 50 м</v>
          </cell>
          <cell r="K6" t="str">
            <v>Кангаласский уголь</v>
          </cell>
        </row>
        <row r="7">
          <cell r="I7" t="str">
            <v>погрузка угля</v>
          </cell>
          <cell r="K7" t="str">
            <v>Аркагалинский уголь</v>
          </cell>
        </row>
        <row r="8">
          <cell r="I8" t="str">
            <v>вывоз шлака</v>
          </cell>
          <cell r="K8" t="str">
            <v>Кемпендяйский уголь</v>
          </cell>
        </row>
        <row r="9">
          <cell r="I9" t="str">
            <v>буртовка шлака</v>
          </cell>
          <cell r="K9" t="str">
            <v>Кировский уголь</v>
          </cell>
        </row>
        <row r="10">
          <cell r="I10" t="str">
            <v>погрузка шлака</v>
          </cell>
          <cell r="K10" t="str">
            <v>Нефть Талаканская</v>
          </cell>
        </row>
        <row r="11">
          <cell r="I11" t="str">
            <v>перебазировка</v>
          </cell>
          <cell r="K11" t="str">
            <v>Нефть Иреляхская</v>
          </cell>
        </row>
        <row r="12">
          <cell r="K12" t="str">
            <v>Нефть Таас-Юряхская</v>
          </cell>
        </row>
        <row r="13">
          <cell r="K13" t="str">
            <v>Газоконденсат - Газпром</v>
          </cell>
        </row>
        <row r="14">
          <cell r="K14" t="str">
            <v>Газоконденсат - АЛРОСА - газ</v>
          </cell>
        </row>
        <row r="15">
          <cell r="K15" t="str">
            <v>Газоконденсат - прочие</v>
          </cell>
        </row>
        <row r="16">
          <cell r="K16" t="str">
            <v>Дизельное  топливо</v>
          </cell>
        </row>
        <row r="17">
          <cell r="K17" t="str">
            <v>Дрова</v>
          </cell>
        </row>
      </sheetData>
      <sheetData sheetId="18" refreshError="1"/>
      <sheetData sheetId="19" refreshError="1"/>
      <sheetData sheetId="20" refreshError="1"/>
      <sheetData sheetId="21" refreshError="1"/>
      <sheetData sheetId="22" refreshError="1">
        <row r="2">
          <cell r="D2" t="str">
            <v>Абыйский муниципальный район</v>
          </cell>
        </row>
        <row r="3">
          <cell r="D3" t="str">
            <v>Алданский муниципальный район</v>
          </cell>
        </row>
        <row r="4">
          <cell r="D4" t="str">
            <v>Аллаиховский муниципальный район</v>
          </cell>
        </row>
        <row r="5">
          <cell r="D5" t="str">
            <v>Амгинский муниципальный район</v>
          </cell>
        </row>
        <row r="6">
          <cell r="D6" t="str">
            <v>Анабарский муниципальный район</v>
          </cell>
        </row>
        <row r="7">
          <cell r="D7" t="str">
            <v>Булунский муниципальный район</v>
          </cell>
        </row>
        <row r="8">
          <cell r="D8" t="str">
            <v>Верхневилюйский муниципальный район</v>
          </cell>
        </row>
        <row r="9">
          <cell r="D9" t="str">
            <v>Верхнеколымский муниципальный район</v>
          </cell>
        </row>
        <row r="10">
          <cell r="D10" t="str">
            <v>Верхоянский муниципальный район</v>
          </cell>
        </row>
        <row r="11">
          <cell r="D11" t="str">
            <v>Вилюйский муниципальный район</v>
          </cell>
        </row>
        <row r="12">
          <cell r="D12" t="str">
            <v>Горный муниципальный район</v>
          </cell>
        </row>
        <row r="13">
          <cell r="D13" t="str">
            <v>Город Якутск</v>
          </cell>
        </row>
        <row r="14">
          <cell r="D14" t="str">
            <v>Жатай</v>
          </cell>
        </row>
        <row r="15">
          <cell r="D15" t="str">
            <v>Жиганский муниципальный район</v>
          </cell>
        </row>
        <row r="16">
          <cell r="D16" t="str">
            <v>Кобяйский муниципальный район</v>
          </cell>
        </row>
        <row r="17">
          <cell r="D17" t="str">
            <v>Ленский муниципальный район</v>
          </cell>
        </row>
        <row r="18">
          <cell r="D18" t="str">
            <v>Мегино-Кангаласский муниципальный район</v>
          </cell>
        </row>
        <row r="19">
          <cell r="D19" t="str">
            <v>Мирнинский муниципальный район</v>
          </cell>
        </row>
        <row r="20">
          <cell r="D20" t="str">
            <v>Момский муниципальный район</v>
          </cell>
        </row>
        <row r="21">
          <cell r="D21" t="str">
            <v>Намский муниципальный район</v>
          </cell>
        </row>
        <row r="22">
          <cell r="D22" t="str">
            <v>Нерюнгринский муниципальный район</v>
          </cell>
        </row>
        <row r="23">
          <cell r="D23" t="str">
            <v>Нижнеколымский муниципальный район</v>
          </cell>
        </row>
        <row r="24">
          <cell r="D24" t="str">
            <v>Нюрбинский муниципальный район</v>
          </cell>
        </row>
        <row r="25">
          <cell r="D25" t="str">
            <v>Оймяконский муниципальный район</v>
          </cell>
        </row>
        <row r="26">
          <cell r="D26" t="str">
            <v>Олекминский муниципальный район</v>
          </cell>
        </row>
        <row r="27">
          <cell r="D27" t="str">
            <v>Оленекский муниципальный район</v>
          </cell>
        </row>
        <row r="28">
          <cell r="D28" t="str">
            <v>Среднеколымский муниципальный район</v>
          </cell>
        </row>
        <row r="29">
          <cell r="D29" t="str">
            <v>Сунтарский муниципальный район</v>
          </cell>
        </row>
        <row r="30">
          <cell r="D30" t="str">
            <v>Таттинский муниципальный район</v>
          </cell>
        </row>
        <row r="31">
          <cell r="D31" t="str">
            <v>Томпонский муниципальный район</v>
          </cell>
        </row>
        <row r="32">
          <cell r="D32" t="str">
            <v>Усть-Алданский муниципальный район</v>
          </cell>
        </row>
        <row r="33">
          <cell r="D33" t="str">
            <v>Усть-Майский муниципальный район</v>
          </cell>
        </row>
        <row r="34">
          <cell r="D34" t="str">
            <v>Усть-Янский муниципальный район</v>
          </cell>
        </row>
        <row r="35">
          <cell r="D35" t="str">
            <v>Хангаласский муниципальный район</v>
          </cell>
        </row>
        <row r="36">
          <cell r="D36" t="str">
            <v>Чурапчинский муниципальный район</v>
          </cell>
        </row>
        <row r="37">
          <cell r="D37" t="str">
            <v>Эвено-Бытантайский Национальный муниципальный район</v>
          </cell>
        </row>
        <row r="38">
          <cell r="D38" t="str">
            <v/>
          </cell>
        </row>
        <row r="53">
          <cell r="B53" t="str">
            <v>Балаганнахский наслег</v>
          </cell>
        </row>
        <row r="54">
          <cell r="B54" t="str">
            <v>Ботулунский наслег</v>
          </cell>
        </row>
        <row r="55">
          <cell r="B55" t="str">
            <v>Быраканский наслег</v>
          </cell>
        </row>
        <row r="56">
          <cell r="B56" t="str">
            <v>Верхневилюйский муниципальный район</v>
          </cell>
        </row>
        <row r="57">
          <cell r="B57" t="str">
            <v>Верхневилюйский наслег</v>
          </cell>
        </row>
        <row r="58">
          <cell r="B58" t="str">
            <v>Далырский наслег</v>
          </cell>
        </row>
        <row r="59">
          <cell r="B59" t="str">
            <v>Дюлюкинский наслег</v>
          </cell>
        </row>
        <row r="60">
          <cell r="B60" t="str">
            <v>Едюгейский наслег</v>
          </cell>
        </row>
        <row r="61">
          <cell r="B61" t="str">
            <v>Кентикский наслег</v>
          </cell>
        </row>
        <row r="62">
          <cell r="B62" t="str">
            <v>Кырыкыйский наслег</v>
          </cell>
        </row>
        <row r="63">
          <cell r="B63" t="str">
            <v>Магасский наслег</v>
          </cell>
        </row>
        <row r="64">
          <cell r="B64" t="str">
            <v>Мейикский наслег</v>
          </cell>
        </row>
        <row r="65">
          <cell r="B65" t="str">
            <v>Намский наслег</v>
          </cell>
        </row>
        <row r="66">
          <cell r="B66" t="str">
            <v>Онхойский наслег</v>
          </cell>
        </row>
        <row r="67">
          <cell r="B67" t="str">
            <v>Оргетский наслег</v>
          </cell>
        </row>
        <row r="68">
          <cell r="B68" t="str">
            <v>Оросунский наслег</v>
          </cell>
        </row>
        <row r="69">
          <cell r="B69" t="str">
            <v>Сельские поселения Верхневилюйского муниципального района</v>
          </cell>
        </row>
        <row r="70">
          <cell r="B70" t="str">
            <v>Сургулукский наслег</v>
          </cell>
        </row>
        <row r="71">
          <cell r="B71" t="str">
            <v>Тамалаканский наслег</v>
          </cell>
        </row>
        <row r="72">
          <cell r="B72" t="str">
            <v>Туобуйинский наслег</v>
          </cell>
        </row>
        <row r="73">
          <cell r="B73" t="str">
            <v>Харбалахский наслег</v>
          </cell>
        </row>
        <row r="74">
          <cell r="B74" t="str">
            <v>Хомустахский наслег</v>
          </cell>
        </row>
        <row r="75">
          <cell r="B75" t="str">
            <v>Хоринский наслег</v>
          </cell>
        </row>
      </sheetData>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Список организаций"/>
      <sheetName val="Баланс производство"/>
      <sheetName val="Баланс передача"/>
      <sheetName val="Калькуляция"/>
      <sheetName val="Тарифное меню1"/>
      <sheetName val="Тарифное меню2"/>
      <sheetName val="Комментарии"/>
      <sheetName val="Проверка"/>
      <sheetName val="Диапазоны"/>
      <sheetName val="TEHSHEET"/>
      <sheetName val="REESTR"/>
      <sheetName val="Заголовок2"/>
      <sheetName val="Заголовок"/>
      <sheetName val="1-500 км 2010 деф 25% от 25%"/>
      <sheetName val="чурапча"/>
      <sheetName val="слесаря"/>
      <sheetName val="нефть"/>
      <sheetName val="уголь"/>
      <sheetName val="дрова"/>
      <sheetName val="6(вс) (с ВОС)"/>
      <sheetName val="распрОХР"/>
      <sheetName val="Abyiskiy BALANCE.WARM.2009YEAR"/>
      <sheetName val="6тхЧурапчинский"/>
      <sheetName val="6(тх)Томпонский"/>
      <sheetName val="6(тх)Таттинский"/>
      <sheetName val="6(тх)С-К"/>
      <sheetName val="6ТХ Олекминский"/>
      <sheetName val="6(тх)Момский"/>
      <sheetName val="6(тх)Жиганский "/>
      <sheetName val="6-тх Горный "/>
      <sheetName val="6тх Э-Бытантайский"/>
      <sheetName val="6тхВерхоянский "/>
      <sheetName val="6(тх)Верхневилюйский"/>
      <sheetName val="6тхБулун"/>
      <sheetName val="6(тх)Ленинский"/>
      <sheetName val="6тх Ыллымах"/>
      <sheetName val="6(тх) Чагад"/>
      <sheetName val="6(тх)Хатыстыр "/>
      <sheetName val="6(тх)Томмот"/>
      <sheetName val="6(тх)Синегорье"/>
      <sheetName val="6(тх)Нимныр"/>
      <sheetName val="6 (тх) Кутана"/>
      <sheetName val="6 (тх)Куранах"/>
      <sheetName val="6(тх)Алдан"/>
      <sheetName val="6(тх) Абыйский"/>
      <sheetName val="Ф5тхСвод Москва"/>
      <sheetName val="Вспомогат(по месяцам)"/>
      <sheetName val="Ф1(уголь)"/>
      <sheetName val="Ф1(нефть) "/>
      <sheetName val="Ф1(дрова)"/>
      <sheetName val="СВОД (по фил) тепло "/>
      <sheetName val="Данные МКД"/>
      <sheetName val="Данные по частным жилым домам"/>
      <sheetName val="П9(собств) (2)"/>
      <sheetName val="ЭСО"/>
      <sheetName val="татта"/>
      <sheetName val="Коэфф"/>
      <sheetName val="мб"/>
      <sheetName val="фб"/>
      <sheetName val="Булун"/>
      <sheetName val="В-Кол"/>
      <sheetName val="Абый"/>
      <sheetName val="Алдан"/>
      <sheetName val="Кутана"/>
      <sheetName val="Н-Кур"/>
      <sheetName val="Том"/>
      <sheetName val="Том нб"/>
      <sheetName val="Аллаиха"/>
      <sheetName val="с.Амга"/>
      <sheetName val="Амг с жф"/>
      <sheetName val="Амг без жф"/>
      <sheetName val="Анабар"/>
      <sheetName val="В-В газ"/>
      <sheetName val="В-В проч"/>
      <sheetName val="Верхоян"/>
      <sheetName val="Вил газ"/>
      <sheetName val="Вил дрова"/>
      <sheetName val="Вил ГКТ"/>
      <sheetName val="Горный"/>
      <sheetName val="жиганск"/>
      <sheetName val="Зареч"/>
      <sheetName val="Кобяй"/>
      <sheetName val="М-К"/>
      <sheetName val="Мома"/>
      <sheetName val="Намцы"/>
      <sheetName val="Нам без жф"/>
      <sheetName val="Н-Кол"/>
      <sheetName val="Нюрба"/>
      <sheetName val="Нюр с жф"/>
      <sheetName val="Нюр без жф"/>
      <sheetName val="Олекма"/>
      <sheetName val="Оленек"/>
      <sheetName val="С-Кол"/>
      <sheetName val="Сунтар"/>
      <sheetName val="Сун без жф"/>
      <sheetName val="Томпо"/>
      <sheetName val="Д-Хая"/>
      <sheetName val="Борогон"/>
      <sheetName val="У-А без жф"/>
      <sheetName val="Покровск"/>
      <sheetName val="Ханг зареч"/>
      <sheetName val="Ханг южн"/>
      <sheetName val="Э-Б дрова"/>
      <sheetName val="Э-Б нефть"/>
      <sheetName val="Маган"/>
      <sheetName val="аэропорт"/>
      <sheetName val="Индексы"/>
      <sheetName val="Нам с жф"/>
      <sheetName val="Свод 10"/>
      <sheetName val="Свод факт"/>
      <sheetName val="Анабар с водой"/>
      <sheetName val="Индексы (2)"/>
      <sheetName val="Свод для АДТ"/>
      <sheetName val="топливо в натуре"/>
      <sheetName val="Мома (2)"/>
      <sheetName val="Вил-газ "/>
      <sheetName val="5 (тх) РЭК"/>
      <sheetName val="1-тх СВОД"/>
      <sheetName val="Кобяйс."/>
      <sheetName val="REESTR_MO"/>
      <sheetName val="БАЛАНС ВОДЫ"/>
      <sheetName val="5тх"/>
      <sheetName val="2-тепло"/>
      <sheetName val="1 тх ПК "/>
      <sheetName val="1 тх ЦК "/>
      <sheetName val="1 тх КОС"/>
      <sheetName val="1 тх БК "/>
      <sheetName val="вн.потреб"/>
      <sheetName val="5 тх"/>
      <sheetName val="8(тх)"/>
      <sheetName val="Ф5 тх Сунтар РЭК"/>
      <sheetName val="5 тх с жф"/>
      <sheetName val="5тх без жф"/>
      <sheetName val="униф"/>
      <sheetName val="5 (тх)"/>
      <sheetName val="5-тх"/>
      <sheetName val="0"/>
      <sheetName val="водоснаб.тариф"/>
      <sheetName val="Ф5тх Нефть Москва"/>
      <sheetName val="5 тх 2014"/>
      <sheetName val=" 6тх"/>
    </sheetNames>
    <sheetDataSet>
      <sheetData sheetId="0">
        <row r="2">
          <cell r="X2" t="str">
            <v>Абыйский муниципальный район</v>
          </cell>
        </row>
      </sheetData>
      <sheetData sheetId="1"/>
      <sheetData sheetId="2"/>
      <sheetData sheetId="3"/>
      <sheetData sheetId="4"/>
      <sheetData sheetId="5"/>
      <sheetData sheetId="6"/>
      <sheetData sheetId="7"/>
      <sheetData sheetId="8"/>
      <sheetData sheetId="9"/>
      <sheetData sheetId="10"/>
      <sheetData sheetId="11"/>
      <sheetData sheetId="12" refreshError="1">
        <row r="2">
          <cell r="X2" t="str">
            <v>Абыйский муниципальный район</v>
          </cell>
          <cell r="Y2" t="str">
            <v>98601000</v>
          </cell>
        </row>
        <row r="3">
          <cell r="X3" t="str">
            <v>Алданский муниципальный район</v>
          </cell>
        </row>
        <row r="4">
          <cell r="X4" t="str">
            <v>Аллаиховский муниципальный район</v>
          </cell>
        </row>
        <row r="5">
          <cell r="X5" t="str">
            <v>Амгинский муниципальный район</v>
          </cell>
        </row>
        <row r="6">
          <cell r="X6" t="str">
            <v>Анабарский муниципальный район</v>
          </cell>
        </row>
        <row r="7">
          <cell r="X7" t="str">
            <v>Булунский муниципальный район</v>
          </cell>
        </row>
        <row r="8">
          <cell r="X8" t="str">
            <v>Верхневилюйский муниципальный район</v>
          </cell>
        </row>
        <row r="9">
          <cell r="X9" t="str">
            <v>Верхнеколымский муниципальный район</v>
          </cell>
        </row>
        <row r="10">
          <cell r="X10" t="str">
            <v>Верхоянский муниципальный район</v>
          </cell>
        </row>
        <row r="11">
          <cell r="X11" t="str">
            <v>Вилюйский муниципальный район</v>
          </cell>
        </row>
        <row r="12">
          <cell r="X12" t="str">
            <v>Горный муниципальный район</v>
          </cell>
        </row>
        <row r="13">
          <cell r="X13" t="str">
            <v>Город Якутск</v>
          </cell>
        </row>
        <row r="14">
          <cell r="X14" t="str">
            <v>Жатай</v>
          </cell>
        </row>
        <row r="15">
          <cell r="X15" t="str">
            <v>Жиганский муниципальный район</v>
          </cell>
        </row>
        <row r="16">
          <cell r="X16" t="str">
            <v>Кобяйский муниципальный район</v>
          </cell>
        </row>
        <row r="17">
          <cell r="X17" t="str">
            <v>Ленский муниципальный район</v>
          </cell>
        </row>
        <row r="18">
          <cell r="X18" t="str">
            <v>Мегино-Кангаласский муниципальный район</v>
          </cell>
        </row>
        <row r="19">
          <cell r="X19" t="str">
            <v>Мирнинский муниципальный район</v>
          </cell>
        </row>
        <row r="20">
          <cell r="X20" t="str">
            <v>Момский муниципальный район</v>
          </cell>
        </row>
        <row r="21">
          <cell r="X21" t="str">
            <v>Намский муниципальный район</v>
          </cell>
        </row>
        <row r="22">
          <cell r="X22" t="str">
            <v>Нерюнгринский муниципальный район</v>
          </cell>
        </row>
        <row r="23">
          <cell r="X23" t="str">
            <v>Нижнеколымский муниципальный район</v>
          </cell>
        </row>
        <row r="24">
          <cell r="X24" t="str">
            <v>Нюрбинский муниципальный район</v>
          </cell>
        </row>
        <row r="25">
          <cell r="X25" t="str">
            <v>Оймяконский муниципальный район</v>
          </cell>
        </row>
        <row r="26">
          <cell r="X26" t="str">
            <v>Олекминский муниципальный район</v>
          </cell>
        </row>
        <row r="27">
          <cell r="X27" t="str">
            <v>Оленекский муниципальный район</v>
          </cell>
        </row>
        <row r="28">
          <cell r="X28" t="str">
            <v>Среднеколымский муниципальный район</v>
          </cell>
        </row>
        <row r="29">
          <cell r="X29" t="str">
            <v>Сунтарский муниципальный район</v>
          </cell>
        </row>
        <row r="30">
          <cell r="X30" t="str">
            <v>Таттинский муниципальный район</v>
          </cell>
        </row>
        <row r="31">
          <cell r="X31" t="str">
            <v>Томпонский муниципальный район</v>
          </cell>
        </row>
        <row r="32">
          <cell r="X32" t="str">
            <v>Усть-Алданский муниципальный район</v>
          </cell>
        </row>
        <row r="33">
          <cell r="X33" t="str">
            <v>Усть-Майский муниципальный район</v>
          </cell>
        </row>
        <row r="34">
          <cell r="X34" t="str">
            <v>Усть-Янский муниципальный район</v>
          </cell>
        </row>
        <row r="35">
          <cell r="X35" t="str">
            <v>Хангаласский муниципальный район</v>
          </cell>
        </row>
        <row r="36">
          <cell r="X36" t="str">
            <v>Чурапчинский муниципальный район</v>
          </cell>
        </row>
        <row r="37">
          <cell r="X37" t="str">
            <v>Эвено-Бытантайский Национальный муниципальный район</v>
          </cell>
        </row>
      </sheetData>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Лист1 (3)"/>
      <sheetName val="Лист1 (2)"/>
      <sheetName val="Лист1"/>
      <sheetName val="Лист2"/>
      <sheetName val="Лист3"/>
      <sheetName val="Лист2 (2)"/>
      <sheetName val="Лист2 (3)"/>
    </sheetNames>
    <sheetDataSet>
      <sheetData sheetId="0" refreshError="1">
        <row r="9">
          <cell r="H9">
            <v>880.1099999999999</v>
          </cell>
          <cell r="I9">
            <v>790.48854723999978</v>
          </cell>
          <cell r="K9">
            <v>0</v>
          </cell>
          <cell r="L9">
            <v>0</v>
          </cell>
          <cell r="M9">
            <v>790.48854723999978</v>
          </cell>
        </row>
        <row r="10">
          <cell r="H10">
            <v>578.40499999999997</v>
          </cell>
          <cell r="I10">
            <v>467.55597363999988</v>
          </cell>
          <cell r="K10">
            <v>0</v>
          </cell>
          <cell r="L10">
            <v>0</v>
          </cell>
          <cell r="M10">
            <v>467.55597363999988</v>
          </cell>
        </row>
        <row r="11">
          <cell r="F11">
            <v>188.09199999999998</v>
          </cell>
          <cell r="G11">
            <v>140</v>
          </cell>
          <cell r="H11">
            <v>116.45699999999999</v>
          </cell>
          <cell r="I11">
            <v>56.006500439999975</v>
          </cell>
          <cell r="K11">
            <v>0</v>
          </cell>
          <cell r="L11">
            <v>0</v>
          </cell>
          <cell r="M11">
            <v>56.006500439999975</v>
          </cell>
        </row>
        <row r="12">
          <cell r="I12">
            <v>0</v>
          </cell>
          <cell r="L12">
            <v>0</v>
          </cell>
          <cell r="M12">
            <v>0</v>
          </cell>
        </row>
        <row r="13">
          <cell r="F13">
            <v>188.09199999999998</v>
          </cell>
          <cell r="G13">
            <v>140</v>
          </cell>
          <cell r="H13">
            <v>116.45699999999999</v>
          </cell>
          <cell r="I13">
            <v>56.006500439999975</v>
          </cell>
          <cell r="L13">
            <v>0</v>
          </cell>
          <cell r="M13">
            <v>56.006500439999975</v>
          </cell>
        </row>
        <row r="14">
          <cell r="F14">
            <v>188.09199999999998</v>
          </cell>
          <cell r="G14">
            <v>99.001999999999995</v>
          </cell>
          <cell r="H14">
            <v>461.94799999999998</v>
          </cell>
          <cell r="I14">
            <v>411.54947319999991</v>
          </cell>
          <cell r="K14">
            <v>0</v>
          </cell>
          <cell r="L14">
            <v>0</v>
          </cell>
          <cell r="M14">
            <v>411.54947319999991</v>
          </cell>
        </row>
        <row r="15">
          <cell r="I15">
            <v>0</v>
          </cell>
          <cell r="L15">
            <v>0</v>
          </cell>
          <cell r="M15">
            <v>0</v>
          </cell>
        </row>
        <row r="16">
          <cell r="F16">
            <v>188.09199999999998</v>
          </cell>
          <cell r="G16">
            <v>99.001999999999995</v>
          </cell>
          <cell r="H16">
            <v>461.94799999999998</v>
          </cell>
          <cell r="I16">
            <v>411.54947319999991</v>
          </cell>
          <cell r="L16">
            <v>0</v>
          </cell>
          <cell r="M16">
            <v>411.54947319999991</v>
          </cell>
        </row>
        <row r="17">
          <cell r="H17">
            <v>202.29499999999999</v>
          </cell>
          <cell r="I17">
            <v>232.82536139999993</v>
          </cell>
          <cell r="K17">
            <v>0</v>
          </cell>
          <cell r="L17">
            <v>0</v>
          </cell>
          <cell r="M17">
            <v>232.82536139999993</v>
          </cell>
        </row>
        <row r="18">
          <cell r="I18">
            <v>0</v>
          </cell>
          <cell r="L18">
            <v>0</v>
          </cell>
          <cell r="M18">
            <v>0</v>
          </cell>
        </row>
        <row r="19">
          <cell r="F19">
            <v>188.09199999999998</v>
          </cell>
          <cell r="G19">
            <v>73</v>
          </cell>
          <cell r="H19">
            <v>202.29499999999999</v>
          </cell>
          <cell r="I19">
            <v>232.82536139999993</v>
          </cell>
          <cell r="L19">
            <v>0</v>
          </cell>
          <cell r="M19">
            <v>232.82536139999993</v>
          </cell>
        </row>
        <row r="20">
          <cell r="H20">
            <v>99.41</v>
          </cell>
          <cell r="I20">
            <v>90.107212199999978</v>
          </cell>
          <cell r="K20">
            <v>0</v>
          </cell>
          <cell r="L20">
            <v>0</v>
          </cell>
          <cell r="M20">
            <v>90.107212199999978</v>
          </cell>
        </row>
        <row r="21">
          <cell r="I21">
            <v>0</v>
          </cell>
          <cell r="L21">
            <v>0</v>
          </cell>
          <cell r="M21">
            <v>0</v>
          </cell>
        </row>
        <row r="22">
          <cell r="F22">
            <v>188.09199999999998</v>
          </cell>
          <cell r="G22">
            <v>97.45</v>
          </cell>
          <cell r="H22">
            <v>99.41</v>
          </cell>
          <cell r="I22">
            <v>90.107212199999978</v>
          </cell>
          <cell r="L22">
            <v>0</v>
          </cell>
          <cell r="M22">
            <v>90.107212199999978</v>
          </cell>
        </row>
        <row r="23">
          <cell r="H23">
            <v>7.8848000000000003</v>
          </cell>
          <cell r="I23">
            <v>20.405628319999998</v>
          </cell>
          <cell r="K23">
            <v>0</v>
          </cell>
          <cell r="L23">
            <v>0</v>
          </cell>
          <cell r="M23">
            <v>20.405628319999998</v>
          </cell>
        </row>
        <row r="24">
          <cell r="H24">
            <v>7.8848000000000003</v>
          </cell>
          <cell r="I24">
            <v>20.405628319999998</v>
          </cell>
          <cell r="K24">
            <v>0</v>
          </cell>
          <cell r="L24">
            <v>0</v>
          </cell>
          <cell r="M24">
            <v>20.405628319999998</v>
          </cell>
        </row>
        <row r="25">
          <cell r="F25">
            <v>186.44</v>
          </cell>
          <cell r="G25">
            <v>140</v>
          </cell>
          <cell r="H25">
            <v>1.1898</v>
          </cell>
          <cell r="I25">
            <v>0.55254311999999994</v>
          </cell>
          <cell r="K25">
            <v>0</v>
          </cell>
          <cell r="L25">
            <v>0</v>
          </cell>
          <cell r="M25">
            <v>0.55254311999999994</v>
          </cell>
        </row>
        <row r="26">
          <cell r="I26">
            <v>0</v>
          </cell>
          <cell r="L26">
            <v>0</v>
          </cell>
          <cell r="M26">
            <v>0</v>
          </cell>
        </row>
        <row r="27">
          <cell r="F27">
            <v>186.44</v>
          </cell>
          <cell r="G27">
            <v>140</v>
          </cell>
          <cell r="H27">
            <v>1.1898</v>
          </cell>
          <cell r="I27">
            <v>0.55254311999999994</v>
          </cell>
          <cell r="L27">
            <v>0</v>
          </cell>
          <cell r="M27">
            <v>0.55254311999999994</v>
          </cell>
        </row>
        <row r="28">
          <cell r="F28">
            <v>395.53599999999994</v>
          </cell>
          <cell r="G28">
            <v>99</v>
          </cell>
          <cell r="H28">
            <v>6.6950000000000003</v>
          </cell>
          <cell r="I28">
            <v>19.853085199999999</v>
          </cell>
          <cell r="K28">
            <v>0</v>
          </cell>
          <cell r="L28">
            <v>0</v>
          </cell>
          <cell r="M28">
            <v>19.853085199999999</v>
          </cell>
        </row>
        <row r="29">
          <cell r="I29">
            <v>0</v>
          </cell>
          <cell r="L29">
            <v>0</v>
          </cell>
          <cell r="M29">
            <v>0</v>
          </cell>
        </row>
        <row r="30">
          <cell r="F30">
            <v>395.53599999999994</v>
          </cell>
          <cell r="G30">
            <v>99</v>
          </cell>
          <cell r="H30">
            <v>6.6950000000000003</v>
          </cell>
          <cell r="I30">
            <v>19.853085199999999</v>
          </cell>
          <cell r="L30">
            <v>0</v>
          </cell>
          <cell r="M30">
            <v>19.853085199999999</v>
          </cell>
        </row>
        <row r="31">
          <cell r="H31">
            <v>0</v>
          </cell>
          <cell r="I31">
            <v>0</v>
          </cell>
          <cell r="K31">
            <v>0</v>
          </cell>
          <cell r="L31">
            <v>0</v>
          </cell>
          <cell r="M31">
            <v>0</v>
          </cell>
        </row>
        <row r="32">
          <cell r="I32">
            <v>0</v>
          </cell>
          <cell r="L32">
            <v>0</v>
          </cell>
          <cell r="M32">
            <v>0</v>
          </cell>
        </row>
        <row r="33">
          <cell r="I33">
            <v>0</v>
          </cell>
          <cell r="L33">
            <v>0</v>
          </cell>
          <cell r="M33">
            <v>0</v>
          </cell>
        </row>
        <row r="34">
          <cell r="H34">
            <v>0</v>
          </cell>
          <cell r="I34">
            <v>0</v>
          </cell>
          <cell r="K34">
            <v>0</v>
          </cell>
          <cell r="L34">
            <v>0</v>
          </cell>
          <cell r="M34">
            <v>0</v>
          </cell>
        </row>
        <row r="35">
          <cell r="I35">
            <v>0</v>
          </cell>
          <cell r="L35">
            <v>0</v>
          </cell>
          <cell r="M35">
            <v>0</v>
          </cell>
        </row>
        <row r="36">
          <cell r="I36">
            <v>0</v>
          </cell>
          <cell r="L36">
            <v>0</v>
          </cell>
          <cell r="M36">
            <v>0</v>
          </cell>
        </row>
        <row r="38">
          <cell r="H38">
            <v>908.40100000000007</v>
          </cell>
          <cell r="I38">
            <v>941.85098199999982</v>
          </cell>
          <cell r="K38">
            <v>0</v>
          </cell>
          <cell r="L38">
            <v>0</v>
          </cell>
          <cell r="M38">
            <v>941.85098199999982</v>
          </cell>
        </row>
        <row r="39">
          <cell r="H39">
            <v>582.91200000000003</v>
          </cell>
          <cell r="I39">
            <v>595.83452399999987</v>
          </cell>
          <cell r="K39">
            <v>0</v>
          </cell>
          <cell r="L39">
            <v>0</v>
          </cell>
          <cell r="M39">
            <v>595.83452399999987</v>
          </cell>
        </row>
        <row r="40">
          <cell r="F40">
            <v>211.2</v>
          </cell>
          <cell r="G40">
            <v>173</v>
          </cell>
          <cell r="H40">
            <v>104.499</v>
          </cell>
          <cell r="I40">
            <v>39.918617999999981</v>
          </cell>
          <cell r="K40">
            <v>0</v>
          </cell>
          <cell r="L40">
            <v>0</v>
          </cell>
          <cell r="M40">
            <v>39.918617999999981</v>
          </cell>
        </row>
        <row r="41">
          <cell r="I41">
            <v>0</v>
          </cell>
          <cell r="L41">
            <v>0</v>
          </cell>
          <cell r="M41">
            <v>0</v>
          </cell>
        </row>
        <row r="42">
          <cell r="F42">
            <v>211.2</v>
          </cell>
          <cell r="G42">
            <v>173</v>
          </cell>
          <cell r="H42">
            <v>104.499</v>
          </cell>
          <cell r="I42">
            <v>39.918617999999981</v>
          </cell>
          <cell r="L42">
            <v>0</v>
          </cell>
          <cell r="M42">
            <v>39.918617999999981</v>
          </cell>
        </row>
        <row r="43">
          <cell r="F43">
            <v>211.2</v>
          </cell>
          <cell r="G43">
            <v>95</v>
          </cell>
          <cell r="H43">
            <v>478.41300000000001</v>
          </cell>
          <cell r="I43">
            <v>555.91590599999995</v>
          </cell>
          <cell r="K43">
            <v>0</v>
          </cell>
          <cell r="L43">
            <v>0</v>
          </cell>
          <cell r="M43">
            <v>555.91590599999995</v>
          </cell>
        </row>
        <row r="44">
          <cell r="I44">
            <v>0</v>
          </cell>
          <cell r="L44">
            <v>0</v>
          </cell>
          <cell r="M44">
            <v>0</v>
          </cell>
        </row>
        <row r="45">
          <cell r="F45">
            <v>211.2</v>
          </cell>
          <cell r="G45">
            <v>95</v>
          </cell>
          <cell r="H45">
            <v>478.41300000000001</v>
          </cell>
          <cell r="I45">
            <v>555.91590599999995</v>
          </cell>
          <cell r="L45">
            <v>0</v>
          </cell>
          <cell r="M45">
            <v>555.91590599999995</v>
          </cell>
        </row>
        <row r="46">
          <cell r="H46">
            <v>215.209</v>
          </cell>
          <cell r="I46">
            <v>250.07285799999997</v>
          </cell>
          <cell r="K46">
            <v>0</v>
          </cell>
          <cell r="L46">
            <v>0</v>
          </cell>
          <cell r="M46">
            <v>250.07285799999997</v>
          </cell>
        </row>
        <row r="47">
          <cell r="I47">
            <v>0</v>
          </cell>
          <cell r="L47">
            <v>0</v>
          </cell>
          <cell r="M47">
            <v>0</v>
          </cell>
        </row>
        <row r="48">
          <cell r="F48">
            <v>211.2</v>
          </cell>
          <cell r="G48">
            <v>95</v>
          </cell>
          <cell r="H48">
            <v>215.209</v>
          </cell>
          <cell r="I48">
            <v>250.07285799999997</v>
          </cell>
          <cell r="L48">
            <v>0</v>
          </cell>
          <cell r="M48">
            <v>250.07285799999997</v>
          </cell>
        </row>
        <row r="49">
          <cell r="H49">
            <v>110.28</v>
          </cell>
          <cell r="I49">
            <v>95.943599999999989</v>
          </cell>
          <cell r="K49">
            <v>0</v>
          </cell>
          <cell r="L49">
            <v>0</v>
          </cell>
          <cell r="M49">
            <v>95.943599999999989</v>
          </cell>
        </row>
        <row r="50">
          <cell r="I50">
            <v>0</v>
          </cell>
          <cell r="L50">
            <v>0</v>
          </cell>
          <cell r="M50">
            <v>0</v>
          </cell>
        </row>
        <row r="51">
          <cell r="F51">
            <v>211.2</v>
          </cell>
          <cell r="G51">
            <v>124.2</v>
          </cell>
          <cell r="H51">
            <v>110.28</v>
          </cell>
          <cell r="I51">
            <v>95.943599999999989</v>
          </cell>
          <cell r="L51">
            <v>0</v>
          </cell>
          <cell r="M51">
            <v>95.943599999999989</v>
          </cell>
        </row>
        <row r="52">
          <cell r="H52">
            <v>5.2323000000000004</v>
          </cell>
          <cell r="I52">
            <v>21.698807500000001</v>
          </cell>
          <cell r="K52">
            <v>0</v>
          </cell>
          <cell r="L52">
            <v>0</v>
          </cell>
          <cell r="M52">
            <v>21.698807500000001</v>
          </cell>
        </row>
        <row r="53">
          <cell r="H53">
            <v>5.2323000000000004</v>
          </cell>
          <cell r="I53">
            <v>21.698807500000001</v>
          </cell>
          <cell r="K53">
            <v>0</v>
          </cell>
          <cell r="L53">
            <v>0</v>
          </cell>
          <cell r="M53">
            <v>21.698807500000001</v>
          </cell>
        </row>
        <row r="54">
          <cell r="F54">
            <v>214.76</v>
          </cell>
          <cell r="G54">
            <v>173</v>
          </cell>
          <cell r="H54">
            <v>1.19</v>
          </cell>
          <cell r="I54">
            <v>0.49694399999999983</v>
          </cell>
          <cell r="K54">
            <v>0</v>
          </cell>
          <cell r="L54">
            <v>0</v>
          </cell>
          <cell r="M54">
            <v>0.49694399999999983</v>
          </cell>
        </row>
        <row r="55">
          <cell r="I55">
            <v>0</v>
          </cell>
          <cell r="L55">
            <v>0</v>
          </cell>
          <cell r="M55">
            <v>0</v>
          </cell>
        </row>
        <row r="56">
          <cell r="F56">
            <v>214.76</v>
          </cell>
          <cell r="G56">
            <v>173</v>
          </cell>
          <cell r="H56">
            <v>1.19</v>
          </cell>
          <cell r="I56">
            <v>0.49694399999999983</v>
          </cell>
          <cell r="L56">
            <v>0</v>
          </cell>
          <cell r="M56">
            <v>0.49694399999999983</v>
          </cell>
        </row>
        <row r="57">
          <cell r="F57">
            <v>619.5</v>
          </cell>
          <cell r="G57">
            <v>95</v>
          </cell>
          <cell r="H57">
            <v>4.0423</v>
          </cell>
          <cell r="I57">
            <v>21.201863500000002</v>
          </cell>
          <cell r="K57">
            <v>0</v>
          </cell>
          <cell r="L57">
            <v>0</v>
          </cell>
          <cell r="M57">
            <v>21.201863500000002</v>
          </cell>
        </row>
        <row r="58">
          <cell r="I58">
            <v>0</v>
          </cell>
          <cell r="L58">
            <v>0</v>
          </cell>
          <cell r="M58">
            <v>0</v>
          </cell>
        </row>
        <row r="59">
          <cell r="F59">
            <v>619.5</v>
          </cell>
          <cell r="G59">
            <v>95</v>
          </cell>
          <cell r="H59">
            <v>4.0423</v>
          </cell>
          <cell r="I59">
            <v>21.201863500000002</v>
          </cell>
          <cell r="L59">
            <v>0</v>
          </cell>
          <cell r="M59">
            <v>21.201863500000002</v>
          </cell>
        </row>
        <row r="60">
          <cell r="H60">
            <v>0</v>
          </cell>
          <cell r="I60">
            <v>0</v>
          </cell>
          <cell r="K60">
            <v>0</v>
          </cell>
          <cell r="L60">
            <v>0</v>
          </cell>
          <cell r="M60">
            <v>0</v>
          </cell>
        </row>
        <row r="61">
          <cell r="I61">
            <v>0</v>
          </cell>
          <cell r="L61">
            <v>0</v>
          </cell>
          <cell r="M61">
            <v>0</v>
          </cell>
        </row>
        <row r="62">
          <cell r="I62">
            <v>0</v>
          </cell>
          <cell r="L62">
            <v>0</v>
          </cell>
          <cell r="M62">
            <v>0</v>
          </cell>
        </row>
        <row r="63">
          <cell r="H63">
            <v>0</v>
          </cell>
          <cell r="I63">
            <v>0</v>
          </cell>
          <cell r="K63">
            <v>0</v>
          </cell>
          <cell r="L63">
            <v>0</v>
          </cell>
          <cell r="M63">
            <v>0</v>
          </cell>
        </row>
        <row r="64">
          <cell r="I64">
            <v>0</v>
          </cell>
          <cell r="L64">
            <v>0</v>
          </cell>
          <cell r="M64">
            <v>0</v>
          </cell>
        </row>
        <row r="65">
          <cell r="I65">
            <v>0</v>
          </cell>
          <cell r="L65">
            <v>0</v>
          </cell>
          <cell r="M65">
            <v>0</v>
          </cell>
        </row>
        <row r="66">
          <cell r="H66">
            <v>1801.6280999999999</v>
          </cell>
          <cell r="I66">
            <v>1774.4439650599998</v>
          </cell>
          <cell r="K66">
            <v>0</v>
          </cell>
          <cell r="L66">
            <v>0</v>
          </cell>
          <cell r="M66">
            <v>1774.4439650599998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10"/>
      <sheetName val="11"/>
      <sheetName val="электра"/>
      <sheetName val="12.2.1."/>
      <sheetName val="11.2.2."/>
      <sheetName val="12.2."/>
      <sheetName val="всего"/>
      <sheetName val="Свод (ФСТ РЭК)"/>
      <sheetName val="Свод НГРЭС"/>
      <sheetName val="Свод НГРЭС +тр-ка РЭК"/>
      <sheetName val="0 (ФСТ)"/>
      <sheetName val="квл13"/>
      <sheetName val="П14-Т2"/>
      <sheetName val="14.2.1."/>
      <sheetName val="14.2.2."/>
      <sheetName val="выручка16"/>
      <sheetName val="топливо17"/>
      <sheetName val="Трансп20"/>
      <sheetName val="ЗП-24"/>
      <sheetName val="Амор."/>
      <sheetName val="31"/>
      <sheetName val="эксперты"/>
      <sheetName val="эксперты (2)"/>
      <sheetName val="FES"/>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Смета на произв. эл. и тепла"/>
      <sheetName val="Смета на тепло "/>
      <sheetName val="0"/>
      <sheetName val="0.1"/>
      <sheetName val="1"/>
      <sheetName val="2"/>
      <sheetName val="2.1"/>
      <sheetName val="2.2"/>
      <sheetName val="4"/>
      <sheetName val="5"/>
      <sheetName val="6"/>
      <sheetName val="6.1"/>
      <sheetName val="7"/>
      <sheetName val="8"/>
      <sheetName val="9"/>
      <sheetName val="10"/>
      <sheetName val="11 (Н)"/>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0 (ФС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одождите"/>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роизводство теплоэнергии (2)"/>
      <sheetName val="Передача теплоэнергии"/>
      <sheetName val="Ш_Пер_ТЭ"/>
      <sheetName val="_передачаТЭ"/>
      <sheetName val="_фикс_тарифы"/>
      <sheetName val="Финансы"/>
      <sheetName val="_финансы"/>
      <sheetName val="Ш_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нансы"/>
      <sheetName val="Д_ФиксТарифы"/>
      <sheetName val="Т1.1.1"/>
      <sheetName val="Ш_Т112"/>
      <sheetName val="Ш_Т121"/>
      <sheetName val="Т1.1.2"/>
      <sheetName val="Т1.2.1"/>
      <sheetName val="Т1.2.2"/>
      <sheetName val="Т3"/>
      <sheetName val="Ш_Т3"/>
      <sheetName val="Т1.4"/>
      <sheetName val="Т1.5"/>
      <sheetName val="Ш_Т6"/>
      <sheetName val="Т6"/>
      <sheetName val="Т7"/>
      <sheetName val="Ш_Т7"/>
      <sheetName val="Т8"/>
      <sheetName val="Ш_Т8"/>
      <sheetName val="Т9"/>
      <sheetName val="Ш_Т9"/>
      <sheetName val="Т10"/>
      <sheetName val="Ш_Т10"/>
      <sheetName val="Т 10"/>
      <sheetName val="Ш_Т11"/>
      <sheetName val="Т 11.1. (2005г)"/>
      <sheetName val="Т 11"/>
      <sheetName val="Т11 скрытая"/>
      <sheetName val="Т12"/>
      <sheetName val="Ш_Т12"/>
      <sheetName val="Т13.1"/>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3.1"/>
      <sheetName val="Т17.4"/>
      <sheetName val="Т18"/>
      <sheetName val="Т18.1"/>
      <sheetName val="Т18.2"/>
      <sheetName val="Т19"/>
      <sheetName val="Т19.1"/>
      <sheetName val="Т19.2"/>
      <sheetName val="Т20"/>
      <sheetName val="Т20.1"/>
      <sheetName val="Т20.2"/>
      <sheetName val="Т20.3"/>
      <sheetName val="Т20.4"/>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Ш_Т27"/>
      <sheetName val="Ш_Перепродавцы"/>
      <sheetName val="Ф1"/>
      <sheetName val="Ш_Ф1"/>
      <sheetName val="Т28"/>
      <sheetName val="Т27"/>
      <sheetName val="Т28.1"/>
      <sheetName val="Т28.2"/>
      <sheetName val="Т28.3"/>
      <sheetName val="Т29"/>
      <sheetName val="Ш_Т29"/>
      <sheetName val="Т29.1"/>
      <sheetName val="Ф2"/>
      <sheetName val="Ф3"/>
      <sheetName val="Ш_Ф3"/>
      <sheetName val="П1"/>
      <sheetName val="П2"/>
      <sheetName val="Д_Передача_ТЭ"/>
      <sheetName val="Скидки для перепродавцов"/>
      <sheetName val="Баланс"/>
      <sheetName val="Потери"/>
      <sheetName val="Баланс ЭЭ"/>
      <sheetName val="Потребление ЭЭ по напряжениям"/>
      <sheetName val="Расход ТЭ"/>
      <sheetName val="Структура НВВ Пр-во ЭЭ"/>
      <sheetName val="Структура НВВ Передача ЭЭ"/>
      <sheetName val="Структура НВВ Пр-во ТЭ"/>
      <sheetName val="Структура НВВ Передача ТЭ"/>
      <sheetName val="Одностав. тариф продажи ЭЭ"/>
      <sheetName val="Одностав. тариф продажи ТЭ"/>
      <sheetName val="Средн.отпуск.тариф по потребит."/>
      <sheetName val="Структура товарной продукции"/>
      <sheetName val="Состав одност.тарифа продажи ТЭ"/>
      <sheetName val="Данные диаграмм"/>
      <sheetName val="Лист"/>
      <sheetName val="Финансы по уровням напряжения"/>
      <sheetName val="Вспомогат(по месяцам)"/>
      <sheetName val="13"/>
      <sheetName val="16"/>
      <sheetName val="17.1"/>
      <sheetName val="2.1"/>
      <sheetName val="2.2"/>
      <sheetName val="2"/>
      <sheetName val="22"/>
      <sheetName val="4"/>
      <sheetName val="5"/>
      <sheetName val="6"/>
      <sheetName val="0.1"/>
      <sheetName val="1"/>
      <sheetName val="10"/>
      <sheetName val="11 (Н)"/>
      <sheetName val="12"/>
      <sheetName val="14"/>
      <sheetName val="15"/>
      <sheetName val="17"/>
      <sheetName val="18"/>
      <sheetName val="19"/>
      <sheetName val="20"/>
      <sheetName val="21"/>
      <sheetName val="23"/>
      <sheetName val="24.1"/>
      <sheetName val="24"/>
      <sheetName val="25"/>
      <sheetName val="26"/>
      <sheetName val="27"/>
      <sheetName val="28"/>
      <sheetName val="29"/>
      <sheetName val="30"/>
      <sheetName val="6.1"/>
      <sheetName val="7"/>
      <sheetName val="8"/>
      <sheetName val="9"/>
    </sheetNames>
    <sheetDataSet>
      <sheetData sheetId="0" refreshError="1"/>
      <sheetData sheetId="1" refreshError="1"/>
      <sheetData sheetId="2" refreshError="1"/>
      <sheetData sheetId="3" refreshError="1"/>
      <sheetData sheetId="4" refreshError="1">
        <row r="60">
          <cell r="A60" t="str">
            <v>Оптовый рынок</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row r="400">
          <cell r="A400" t="str">
            <v>ТЭС</v>
          </cell>
        </row>
        <row r="525">
          <cell r="A525" t="str">
            <v>Поставщики теплоэнергии</v>
          </cell>
        </row>
        <row r="575">
          <cell r="A575" t="str">
            <v>Прочие потребители теплоэнергии</v>
          </cell>
        </row>
      </sheetData>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мой (2)"/>
      <sheetName val="мой"/>
      <sheetName val="пред-12%"/>
      <sheetName val="изм.база"/>
      <sheetName val="база2007"/>
      <sheetName val="Данные (3)"/>
      <sheetName val="Данные (2)"/>
      <sheetName val="Данные"/>
      <sheetName val="Лист1"/>
      <sheetName val="Лист2"/>
      <sheetName val="Лист3"/>
      <sheetName val="Лист"/>
      <sheetName val="навигация"/>
      <sheetName val="Производство электроэнерг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Данны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дефляторы"/>
      <sheetName val="Цена золота"/>
      <sheetName val="сельхоз"/>
      <sheetName val="сельхоз_рент"/>
      <sheetName val="энерго"/>
      <sheetName val="энерго_рент"/>
      <sheetName val="уголь"/>
      <sheetName val="уголь_рент"/>
      <sheetName val="газовая"/>
      <sheetName val="газовая_рент"/>
      <sheetName val="нефть"/>
      <sheetName val="нефть_рент"/>
      <sheetName val="нефть_пер"/>
      <sheetName val="нефть_пер_рент"/>
      <sheetName val="алм_доб"/>
      <sheetName val="алм_доб_рент"/>
      <sheetName val="зол_доб"/>
      <sheetName val="зол_доб_рент"/>
      <sheetName val="олово"/>
      <sheetName val="олово_рент"/>
      <sheetName val="сурьма"/>
      <sheetName val="сурьма_рент"/>
      <sheetName val="черн_мет"/>
      <sheetName val="черн_мет_рент"/>
      <sheetName val="маш_стр"/>
      <sheetName val="маш_стр_рент"/>
      <sheetName val="лесная"/>
      <sheetName val="лесная_рент"/>
      <sheetName val="лес_заг"/>
      <sheetName val="лес_заг_рент"/>
      <sheetName val="дер_обр"/>
      <sheetName val="дер_обр_рент"/>
      <sheetName val="промстрой"/>
      <sheetName val="промстрой_рент"/>
      <sheetName val="легкая"/>
      <sheetName val="легкая_рент"/>
      <sheetName val="полиграф"/>
      <sheetName val="полиграф_рент"/>
      <sheetName val="проч_пром"/>
      <sheetName val="проч_пром_рент"/>
      <sheetName val="алм_обр"/>
      <sheetName val="алм_обр_рент"/>
      <sheetName val="алм_обр_1"/>
      <sheetName val="алм_обр_рент_1"/>
      <sheetName val="алм_обр_2"/>
      <sheetName val="алм_обр_рент_2"/>
      <sheetName val="ювел"/>
      <sheetName val="ювел_рент"/>
      <sheetName val="худ_промыслы"/>
      <sheetName val="худ_промыслы_рент"/>
      <sheetName val="пищевая_свод"/>
      <sheetName val="пищевая_свод_рент"/>
      <sheetName val="хлебопекарня"/>
      <sheetName val="хлебопекарня_рент"/>
      <sheetName val="ликеровод"/>
      <sheetName val="ликеровод_рент"/>
      <sheetName val="мясная"/>
      <sheetName val="мясная_рент"/>
      <sheetName val="масломолоч"/>
      <sheetName val="масломолоч_рент"/>
      <sheetName val="рыбная"/>
      <sheetName val="рыбная_рент"/>
      <sheetName val="мукомоль"/>
      <sheetName val="мукомоль_рент"/>
      <sheetName val="строй"/>
      <sheetName val="строй_рент"/>
      <sheetName val="трансп_свод"/>
      <sheetName val="трансп_свод_рент"/>
      <sheetName val="воздуш"/>
      <sheetName val="воздуш_рент"/>
      <sheetName val="морск"/>
      <sheetName val="морск_рент"/>
      <sheetName val="речн"/>
      <sheetName val="речн_рент"/>
      <sheetName val="авто"/>
      <sheetName val="авто_рент"/>
      <sheetName val="жд"/>
      <sheetName val="жд_рент"/>
      <sheetName val="шоссе"/>
      <sheetName val="шоссе_рент"/>
      <sheetName val="связь"/>
      <sheetName val="связь_рент"/>
      <sheetName val="торг"/>
      <sheetName val="торг_рент"/>
      <sheetName val="мтс"/>
      <sheetName val="мтс_рент"/>
      <sheetName val="прочие"/>
      <sheetName val="прочие_рент"/>
      <sheetName val="геол"/>
      <sheetName val="геол_рент"/>
      <sheetName val="жкх"/>
      <sheetName val="жкх_рент"/>
      <sheetName val="банки"/>
      <sheetName val="банки_рент"/>
      <sheetName val="страх"/>
      <sheetName val="страх_рент."/>
      <sheetName val="Вспомогат(по месяцам)"/>
      <sheetName val="Макет Прибыли"/>
      <sheetName val="Вспомогат_по месяцам_"/>
      <sheetName val="слесаря"/>
      <sheetName val="REESTR"/>
      <sheetName val="Титульный_лист"/>
      <sheetName val="Цена_золота"/>
      <sheetName val="страх_рент_"/>
      <sheetName val="Вспомогат(по_месяцам)"/>
      <sheetName val="Макет_Прибыли"/>
      <sheetName val="Вспомогат_по_месяцам_"/>
      <sheetName val="Лист"/>
      <sheetName val="отопление"/>
      <sheetName val="гвс"/>
      <sheetName val="приложение 1 вс"/>
      <sheetName val="Кобяйс."/>
      <sheetName val="1"/>
      <sheetName val="Лист2"/>
      <sheetName val="Прилож №2 здравоох"/>
      <sheetName val="Прилож №1 образ"/>
      <sheetName val="Прилож №3 культура"/>
      <sheetName val="Прилож №5 админ"/>
      <sheetName val="Прилож №7 федер"/>
      <sheetName val="Прилож №8 прочие"/>
      <sheetName val="Таттинский 332"/>
      <sheetName val="Прил. 1.2.1 (из СО) сент.-дек."/>
      <sheetName val="Титульный"/>
      <sheetName val="хоз.объекты"/>
      <sheetName val="ф.ТХ-ЖФ-1(по 1342-р)"/>
      <sheetName val="Нормативы и дни"/>
      <sheetName val="прил1 (2)"/>
      <sheetName val="Общий свод (2)"/>
    </sheetNames>
    <sheetDataSet>
      <sheetData sheetId="0" refreshError="1">
        <row r="107">
          <cell r="J107">
            <v>2003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5)"/>
      <sheetName val="Вспомогат(по бюджетам)"/>
      <sheetName val="Вспомогат(по месяцам)"/>
      <sheetName val="Вспомогат_по месяцам_"/>
      <sheetName val="Вспомогательные расходы1"/>
      <sheetName val="Общий свод (2)"/>
      <sheetName val="1(вс) филиал"/>
      <sheetName val="Свод_(5)"/>
      <sheetName val="Вспомогат(по_бюджетам)"/>
      <sheetName val="Вспомогат(по_месяцам)"/>
      <sheetName val="Вспомогат_по_месяцам_"/>
      <sheetName val="Вспомогательные_расходы1"/>
      <sheetName val="Общий_свод_(2)"/>
      <sheetName val="1(вс)_филиал"/>
      <sheetName val="Титульный лист"/>
      <sheetName val="FES"/>
      <sheetName val="6(вс) (2)"/>
      <sheetName val="REESTR"/>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иды д-ти"/>
      <sheetName val="продукция"/>
      <sheetName val="штат_расписание"/>
      <sheetName val="запасы на нач"/>
      <sheetName val="реализация"/>
    </sheetNames>
    <sheetDataSet>
      <sheetData sheetId="0">
        <row r="348">
          <cell r="B348" t="str">
            <v xml:space="preserve">сортовые (черенковые)  сады </v>
          </cell>
        </row>
        <row r="421">
          <cell r="B421" t="str">
            <v>Молочное стадо крс</v>
          </cell>
        </row>
        <row r="422">
          <cell r="B422" t="str">
            <v>животные на выращивании и откорме</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иды д-ти"/>
      <sheetName val="продукция"/>
      <sheetName val="штат_расписание"/>
      <sheetName val="запасы на нач"/>
      <sheetName val="реализация"/>
    </sheetNames>
    <sheetDataSet>
      <sheetData sheetId="0">
        <row r="348">
          <cell r="B348" t="str">
            <v xml:space="preserve">сортовые (черенковые)  сады </v>
          </cell>
        </row>
        <row r="421">
          <cell r="B421" t="str">
            <v>Молочное стадо крс</v>
          </cell>
        </row>
        <row r="422">
          <cell r="B422" t="str">
            <v>животные на выращивании и откорме</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иды д-ти"/>
      <sheetName val="продукция"/>
      <sheetName val="штат_расписание"/>
      <sheetName val="запасы на нач"/>
      <sheetName val="реализация"/>
    </sheetNames>
    <sheetDataSet>
      <sheetData sheetId="0">
        <row r="348">
          <cell r="B348" t="str">
            <v xml:space="preserve">сортовые (черенковые)  сады </v>
          </cell>
        </row>
        <row r="421">
          <cell r="B421" t="str">
            <v>Молочное стадо крс</v>
          </cell>
        </row>
        <row r="422">
          <cell r="B422" t="str">
            <v>животные на выращивании и откорме</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Финансово-экономическое управле"/>
      <sheetName val="Лист1"/>
      <sheetName val="свод"/>
      <sheetName val="Лист2"/>
      <sheetName val="Лист3"/>
      <sheetName val="Финансово-экономическое упр"/>
      <sheetName val="Экономист"/>
    </sheetNames>
    <definedNames>
      <definedName name="Виды_ГСМ" refersTo="#ССЫЛКА!"/>
      <definedName name="Виды_МБП" refersTo="#ССЫЛКА!"/>
      <definedName name="Виды_ППТН" refersTo="#ССЫЛКА!"/>
      <definedName name="Виды_работ" refersTo="#ССЫЛКА!"/>
      <definedName name="Виды_транспорта" refersTo="#ССЫЛКА!"/>
      <definedName name="Виды_ТЭР" refersTo="#ССЫЛКА!"/>
      <definedName name="Виды_услуг" refersTo="#ССЫЛКА!"/>
      <definedName name="Виды_целевого_обслуживания" refersTo="#ССЫЛКА!"/>
      <definedName name="Классы_отапливаемых_объектов" refersTo="#ССЫЛКА!"/>
      <definedName name="Котельные" refersTo="#ССЫЛКА!"/>
      <definedName name="Марки_автотранспорта" refersTo="#ССЫЛКА!"/>
      <definedName name="Предприятия_ЖКХ" refersTo="#ССЫЛКА!"/>
      <definedName name="ТМЦ" refersTo="#ССЫЛКА!"/>
      <definedName name="Улусы" refersTo="#ССЫЛКА!"/>
      <definedName name="Юридические_лица"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5)"/>
      <sheetName val="Вспомогат(по бюджетам)"/>
      <sheetName val="Вспомогат(по месяцам)"/>
      <sheetName val="Вспомогат_по месяцам_"/>
      <sheetName val="Вспомогательные расходы1"/>
      <sheetName val="Свод_(5)"/>
      <sheetName val="Вспомогат(по_бюджетам)"/>
      <sheetName val="Вспомогат(по_месяцам)"/>
      <sheetName val="Вспомогат_по_месяцам_"/>
      <sheetName val="Вспомогательные_расходы1"/>
      <sheetName val="REESTR"/>
      <sheetName val="Отопление (2)"/>
      <sheetName val="Заголовок"/>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по улусам"/>
      <sheetName val="Свод по улусам (ПЛИ)"/>
      <sheetName val="Общий свод(ПЛИ)"/>
      <sheetName val="Общий свод (2)"/>
      <sheetName val="Общий свод (объемы)"/>
      <sheetName val="Общий свод (суммы)"/>
      <sheetName val="Э-Бытантай (2)"/>
      <sheetName val="Э-Бытантай"/>
      <sheetName val="Чурапча (2)"/>
      <sheetName val="Чурапча"/>
      <sheetName val="Хангаласск4ий (2)"/>
      <sheetName val="Хангаласск4ий"/>
      <sheetName val="Усть-Яна (2)"/>
      <sheetName val="Усть-Яна"/>
      <sheetName val="Усть-Мая (2)"/>
      <sheetName val="Усть-Мая"/>
      <sheetName val="Усть-Алдан(2+)"/>
      <sheetName val="Усть-Алдан (2)"/>
      <sheetName val="Томпо (2)"/>
      <sheetName val="Томпо"/>
      <sheetName val="татта (2)"/>
      <sheetName val="татта"/>
      <sheetName val="Сунтар (2)"/>
      <sheetName val="Сунтар"/>
      <sheetName val="Сколымск (2)"/>
      <sheetName val="Сколымск"/>
      <sheetName val="Оленек (2)"/>
      <sheetName val="Оленек"/>
      <sheetName val="Олекма (2)"/>
      <sheetName val="Олекма"/>
      <sheetName val="Оймякон (2)"/>
      <sheetName val="Оймякон"/>
      <sheetName val="Нюрба (2)"/>
      <sheetName val="Нюрба"/>
      <sheetName val="Нколымск (2)"/>
      <sheetName val="Нколымск"/>
      <sheetName val="Намск (2)"/>
      <sheetName val="Намск"/>
      <sheetName val="Мома (2)"/>
      <sheetName val="Мома"/>
      <sheetName val="Майа (свод) (2)"/>
      <sheetName val="Майа (свод)"/>
      <sheetName val="Сангар (свод) (2)"/>
      <sheetName val="Сангар (свод)"/>
      <sheetName val="Жиганск (2)"/>
      <sheetName val="Жиганск"/>
      <sheetName val="Горный (2)"/>
      <sheetName val="Горный"/>
      <sheetName val="Кысыл-сыр"/>
      <sheetName val="Вилюйск (свод) (2)"/>
      <sheetName val="Вилюйск (свод)"/>
      <sheetName val="Верхоянск (2)"/>
      <sheetName val="Верхоянск"/>
      <sheetName val="Вколымск (2)"/>
      <sheetName val="Вколымск"/>
      <sheetName val="Вевилюйск (2)"/>
      <sheetName val="Вевилюйск"/>
      <sheetName val="Булун (2)"/>
      <sheetName val="Булун"/>
      <sheetName val="Анабар (2)"/>
      <sheetName val="Анабар"/>
      <sheetName val="Амга (2)"/>
      <sheetName val="Амга"/>
      <sheetName val="Аллаиха (2)"/>
      <sheetName val="Аллаиха"/>
      <sheetName val="Алдан (2)"/>
      <sheetName val="Алдан"/>
      <sheetName val="Абый (2)"/>
      <sheetName val="Абый"/>
      <sheetName val="Общий свод _2_"/>
      <sheetName val="Вспомогат(по месяцам)"/>
      <sheetName val="Прилож №2"/>
      <sheetName val="Вспомогат_по месяцам_"/>
      <sheetName val="Свод_по_улусам"/>
      <sheetName val="Свод_по_улусам_(ПЛИ)"/>
      <sheetName val="Общий_свод(ПЛИ)"/>
      <sheetName val="Общий_свод_(2)"/>
      <sheetName val="Общий_свод_(объемы)"/>
      <sheetName val="Общий_свод_(суммы)"/>
      <sheetName val="Э-Бытантай_(2)"/>
      <sheetName val="Чурапча_(2)"/>
      <sheetName val="Хангаласск4ий_(2)"/>
      <sheetName val="Усть-Яна_(2)"/>
      <sheetName val="Усть-Мая_(2)"/>
      <sheetName val="Усть-Алдан_(2)"/>
      <sheetName val="Томпо_(2)"/>
      <sheetName val="татта_(2)"/>
      <sheetName val="Сунтар_(2)"/>
      <sheetName val="Сколымск_(2)"/>
      <sheetName val="Оленек_(2)"/>
      <sheetName val="Олекма_(2)"/>
      <sheetName val="Оймякон_(2)"/>
      <sheetName val="Нюрба_(2)"/>
      <sheetName val="Нколымск_(2)"/>
      <sheetName val="Намск_(2)"/>
      <sheetName val="Мома_(2)"/>
      <sheetName val="Майа_(свод)_(2)"/>
      <sheetName val="Майа_(свод)"/>
      <sheetName val="Сангар_(свод)_(2)"/>
      <sheetName val="Сангар_(свод)"/>
      <sheetName val="Жиганск_(2)"/>
      <sheetName val="Горный_(2)"/>
      <sheetName val="Вилюйск_(свод)_(2)"/>
      <sheetName val="Вилюйск_(свод)"/>
      <sheetName val="Верхоянск_(2)"/>
      <sheetName val="Вколымск_(2)"/>
      <sheetName val="Вевилюйск_(2)"/>
      <sheetName val="Булун_(2)"/>
      <sheetName val="Анабар_(2)"/>
      <sheetName val="Амга_(2)"/>
      <sheetName val="Аллаиха_(2)"/>
      <sheetName val="Алдан_(2)"/>
      <sheetName val="Абый_(2)"/>
      <sheetName val="Общий_свод__2_"/>
      <sheetName val="Вспомогат(по_месяцам)"/>
      <sheetName val="Прилож_№2"/>
      <sheetName val="Параметры"/>
      <sheetName val="Лист"/>
      <sheetName val="навигация"/>
      <sheetName val="Производство электроэнерг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тх)36-ти кв.д.(ТОМ 01.001)"/>
      <sheetName val="1(тх)56-ти кв.д.(ТОМ 01.002)"/>
      <sheetName val="1(тх)АЮГРЭ(ТОМ 01.003)"/>
      <sheetName val="1(тх)Гаража(ТОМ 01.004)"/>
      <sheetName val="1(тх)кв. Б(ТОМ 01.005)"/>
      <sheetName val="1(тх)кв. В(ТОМ 01.006)"/>
      <sheetName val="1(тх)Нюрба(ТОМ 01.007)"/>
      <sheetName val="1(тх)ПМК(ТОМ 01.008)"/>
      <sheetName val="1(тх)РИК(ТОМ 01.009)"/>
      <sheetName val="1(тх)СХТ(ТОМ 01.010)"/>
      <sheetName val="1(тх)РСУ(ТОМ 01.011)"/>
      <sheetName val="1(тх)Ары-Толон(ТОМ 02.012)"/>
      <sheetName val="1(тх)Аэропорт(ТОМ 03.013)"/>
      <sheetName val="1(тх)Кескил(ТОМ 04.014)"/>
      <sheetName val="1(тх)Центральная(ТОМ 05.015)"/>
      <sheetName val="1(тх)С.химии(ТОМ 05.016)"/>
      <sheetName val="1(тх) ДИПИ"/>
      <sheetName val="1(тх)М-А(ТОМ 06.017)"/>
      <sheetName val="1(тх)Новый(ТОМ 07.018)"/>
      <sheetName val="1(тх)Развилка(ТОМ 08.019)"/>
      <sheetName val="1(тх)Сайды(ТОМ 09.020)"/>
      <sheetName val="1(тх)Т-Ключ(ТОМ 10.021)"/>
      <sheetName val="1(тх)ТУСМ(ТОМ 10.022)"/>
      <sheetName val="1(тх)Тополиное(ТОМ 11.023)"/>
      <sheetName val="1(тх)Ударник(ТОМ 12.024)"/>
      <sheetName val="1(тх)Свод (с площадью)"/>
      <sheetName val="Отклонение"/>
      <sheetName val="2(тх)"/>
      <sheetName val="3(тх)"/>
      <sheetName val="3(тх) РЭК"/>
      <sheetName val="4 (тх) РЭК"/>
      <sheetName val="5 (тх)"/>
      <sheetName val="6(тх)"/>
      <sheetName val="ТСХ с осв.2011"/>
      <sheetName val="8(тх)"/>
      <sheetName val="9(тх)"/>
      <sheetName val="10(тх)"/>
      <sheetName val="Данные"/>
      <sheetName val="Финансово-экономич"/>
      <sheetName val="Фор"/>
      <sheetName val="Пояснения"/>
      <sheetName val="Лист1"/>
      <sheetName val="свод"/>
      <sheetName val="Лист2"/>
      <sheetName val="Лист3"/>
      <sheetName val="Финансово-экономическое упр"/>
      <sheetName val="Справочники"/>
      <sheetName val="Анабар"/>
      <sheetName val="ОСВ Анабар"/>
      <sheetName val="ВЯнск"/>
      <sheetName val="ОСВ Верхоянск"/>
      <sheetName val="Олекма"/>
      <sheetName val="ОСВ Олекма"/>
      <sheetName val="УАлдан"/>
      <sheetName val="ОСВ Усть-Алдан"/>
      <sheetName val="Реестр общ "/>
      <sheetName val="тэ (бюдж)"/>
      <sheetName val="саночистка"/>
      <sheetName val="расчет q по интерполяции"/>
      <sheetName val="форма 1(амортизация)"/>
      <sheetName val="форма 2(амортизация)"/>
      <sheetName val="Свод амортизация"/>
      <sheetName val="форма 3 (аммортизация)"/>
      <sheetName val="форма 4 (амортизация)"/>
      <sheetName val="Аналитика"/>
      <sheetName val="Телефон"/>
      <sheetName val="Свод (филиалы с резерв)"/>
      <sheetName val="Свод (филиалы)"/>
      <sheetName val="Санкционированный бюджет"/>
      <sheetName val="ЦФО"/>
      <sheetName val="Абый"/>
      <sheetName val="Алдан"/>
      <sheetName val="Аллаиха"/>
      <sheetName val="Амга"/>
      <sheetName val="Булун"/>
      <sheetName val="Верхневил"/>
      <sheetName val="Верхнекол"/>
      <sheetName val="Верхоян"/>
      <sheetName val="Вилюй"/>
      <sheetName val="Горный"/>
      <sheetName val="Жиганский"/>
      <sheetName val="Кобяй"/>
      <sheetName val="Заречье"/>
      <sheetName val="Маган"/>
      <sheetName val="Мегин_Канг"/>
      <sheetName val="Мома"/>
      <sheetName val="Намцы"/>
      <sheetName val="Н_Кол"/>
      <sheetName val="Нюрба"/>
      <sheetName val="Оленек"/>
      <sheetName val="Среднекол"/>
      <sheetName val="Сунтар"/>
      <sheetName val="Татта"/>
      <sheetName val="Томпо"/>
      <sheetName val="Джебарики"/>
      <sheetName val="У_Алдан"/>
      <sheetName val="Хангал"/>
      <sheetName val="Чурапча"/>
      <sheetName val="Эв_Быт"/>
      <sheetName val="ИД"/>
      <sheetName val="КТС"/>
      <sheetName val="КК"/>
      <sheetName val="резерв"/>
      <sheetName val="вилюйск"/>
      <sheetName val="заречный"/>
      <sheetName val="Проверка"/>
      <sheetName val="Соц выплаты распред"/>
      <sheetName val="закуп тн"/>
      <sheetName val="закуп руб"/>
      <sheetName val="хранение"/>
      <sheetName val="транспорт"/>
      <sheetName val="транспорт ЖД"/>
      <sheetName val="транспорт водный фрахт"/>
      <sheetName val="транспортавто"/>
      <sheetName val="анализ"/>
      <sheetName val="СВОД не стирать"/>
      <sheetName val="ФКК"/>
      <sheetName val="TDSheet"/>
      <sheetName val="Текст обоснования"/>
      <sheetName val="ОХЗ ГУП"/>
      <sheetName val="ОХЗ КТС"/>
      <sheetName val="ГУП"/>
      <sheetName val="Аллайх"/>
      <sheetName val="Анаб"/>
      <sheetName val="В-Вил"/>
      <sheetName val="В-Кол"/>
      <sheetName val="В-Янск"/>
      <sheetName val="Кыз-Сыр"/>
      <sheetName val="жиган"/>
      <sheetName val="Зареч"/>
      <sheetName val="Мег-Кан"/>
      <sheetName val="Н-Кол"/>
      <sheetName val="Оймякон"/>
      <sheetName val="Олекм"/>
      <sheetName val="С-Кол"/>
      <sheetName val="Сунтары"/>
      <sheetName val="Томпон"/>
      <sheetName val="Джеб-Х"/>
      <sheetName val="Усть-Ал"/>
      <sheetName val="Усть-М"/>
      <sheetName val="Усть-Я"/>
      <sheetName val="Чурап"/>
      <sheetName val="Эвено-Б"/>
      <sheetName val="Коммунтепл"/>
      <sheetName val="Коммунк"/>
      <sheetName val="АУП"/>
      <sheetName val="ОХЗ филиалов"/>
      <sheetName val="прилож с 1вар жилф по дог сМО"/>
      <sheetName val="приложение с изм жилфонд"/>
      <sheetName val="1(вс)Арылах"/>
      <sheetName val="1(вс)Эльгетск"/>
      <sheetName val="1(вс)Бетенкес"/>
      <sheetName val="1(вс)Сайды"/>
      <sheetName val="1(вс)Боронук"/>
      <sheetName val="1(вс)Юттях"/>
      <sheetName val="1(вс)Эге-Хая"/>
      <sheetName val="1(вс)Верхоянск"/>
      <sheetName val="1(вс) Батагай"/>
      <sheetName val="1(вс)Свод на 4 тарифа"/>
      <sheetName val="2(вс)"/>
      <sheetName val="3(вс)"/>
      <sheetName val="5(вс)"/>
      <sheetName val="4(вс)"/>
      <sheetName val="6(вс)."/>
      <sheetName val="7(вс)"/>
      <sheetName val="8(вс)"/>
      <sheetName val="10-тх"/>
      <sheetName val="технол"/>
      <sheetName val="подвоз"/>
      <sheetName val="Ф 1(техн вода) ДСК 2010"/>
      <sheetName val="ВЯнск (2) ДСК 2010"/>
      <sheetName val="1(тх) Арылах"/>
      <sheetName val="Прил №1 Ар"/>
      <sheetName val="1(тх) Эльгетск"/>
      <sheetName val="Прил №1 Эльг"/>
      <sheetName val="1 (тх)Бетенкес"/>
      <sheetName val="Прил №1 Бет"/>
      <sheetName val="1(тх) сайды"/>
      <sheetName val="Прил №1 Сай"/>
      <sheetName val="1(тх) Боронук"/>
      <sheetName val="Прил №1 Бор"/>
      <sheetName val="1(тх) Юттях"/>
      <sheetName val="Прил №1Ют"/>
      <sheetName val="1(тх) Эге-х"/>
      <sheetName val="Прилож №1 Эг-Х"/>
      <sheetName val="1(тх) Верх"/>
      <sheetName val="Прилож№1"/>
      <sheetName val="1 (тх) Батаг"/>
      <sheetName val="Прил №1"/>
      <sheetName val="Свод приложений"/>
      <sheetName val="ф 1 (тх) свод."/>
      <sheetName val="форма 2 (тх)"/>
      <sheetName val="форма 3(тх) "/>
      <sheetName val="(форма 4(тх)"/>
      <sheetName val="Ф 1 топливо "/>
      <sheetName val="Ф-6 хранение"/>
      <sheetName val="1 автотрансп"/>
      <sheetName val="5(тх )."/>
      <sheetName val="6тх "/>
      <sheetName val="7 тх"/>
      <sheetName val="8 тх "/>
      <sheetName val="форма 9(тх)"/>
      <sheetName val="форма 10( тх) "/>
      <sheetName val="ТБ_Нефть"/>
      <sheetName val="ТБ_Уголь"/>
      <sheetName val="НУРТ"/>
      <sheetName val="1автотранс -новя форма"/>
      <sheetName val="Отнесение общехоз"/>
      <sheetName val="1 тх (свод)"/>
      <sheetName val="1 тх (3 кв)"/>
      <sheetName val="1 тх (4 кв)"/>
      <sheetName val="1 тх (АО Аб)"/>
      <sheetName val="1 тх (Аэроп)"/>
      <sheetName val="1 тх (Абый)"/>
      <sheetName val="1 тх (Кеб)"/>
      <sheetName val="1 тх (Сыаг)"/>
      <sheetName val="1 тх (БРП)"/>
      <sheetName val="1 тх (ИРВП)"/>
      <sheetName val="1 тх (Цех вод)"/>
      <sheetName val="1 тх (Сут)"/>
      <sheetName val="1 тх (От-Ат)"/>
      <sheetName val="1 тх (Уолб)"/>
      <sheetName val="приложение 1 к схеме"/>
      <sheetName val="4(тх)"/>
      <sheetName val="4(тх) Москва"/>
      <sheetName val="5 (тх) Москва"/>
      <sheetName val="6(тх) Москва"/>
      <sheetName val="7(тх)"/>
      <sheetName val=" 9(тх)Москва"/>
      <sheetName val="10 (тх) Москва"/>
      <sheetName val="УФ"/>
      <sheetName val="Распр."/>
      <sheetName val="Таб 2 ГАРАЖ"/>
      <sheetName val="Таб 2РММ"/>
      <sheetName val="РММ"/>
      <sheetName val="гараж"/>
      <sheetName val="Таб 3"/>
      <sheetName val="Таб 4"/>
      <sheetName val="Табл 5"/>
      <sheetName val="ф6"/>
      <sheetName val="Таб 6"/>
      <sheetName val="Таб 7"/>
      <sheetName val="Таб 8"/>
      <sheetName val="1(ам)"/>
      <sheetName val="2(ам)"/>
      <sheetName val="3(ам)"/>
      <sheetName val="4(ам)"/>
      <sheetName val="Прил№1"/>
      <sheetName val="Кутана"/>
      <sheetName val="Аллайха"/>
      <sheetName val="Амга с жф"/>
      <sheetName val="Амга без жф"/>
      <sheetName val="Вилюй газ"/>
      <sheetName val="Вилюй гкт"/>
      <sheetName val="Вилюй дрова"/>
      <sheetName val="ВВилюй уголь ГКТ"/>
      <sheetName val="ВВилюй ДТ"/>
      <sheetName val="ВВилюй газ"/>
      <sheetName val="Вколыма"/>
      <sheetName val="Жиганск"/>
      <sheetName val="МК"/>
      <sheetName val="с Нам"/>
      <sheetName val="Намцы с ЖФ"/>
      <sheetName val="Намцы без ЖФ"/>
      <sheetName val="Нколыма"/>
      <sheetName val="Нюрба с ЖФ"/>
      <sheetName val="Нюрба без ЖФ"/>
      <sheetName val="СК"/>
      <sheetName val="Сунтар с жф"/>
      <sheetName val="Сунтар без ЖФ"/>
      <sheetName val="ДЖХ"/>
      <sheetName val="УА с.Борогонцы"/>
      <sheetName val="УА с ЖФ"/>
      <sheetName val="УА без ЖФ"/>
      <sheetName val="Покровск"/>
      <sheetName val="Юг+Центр"/>
      <sheetName val="ЭБ дрова"/>
      <sheetName val="ЭБ нефть"/>
      <sheetName val="5(тх)"/>
      <sheetName val="1 (баланс)"/>
      <sheetName val="Тех.хар.кот. 1ТХ"/>
      <sheetName val="хар.кот. 2ТХ"/>
      <sheetName val="3ТХ (кот.)"/>
      <sheetName val="хар.т.сет. 4ТХ"/>
      <sheetName val="Анализ 1 тепло"/>
      <sheetName val="1 тепло"/>
      <sheetName val="потребители"/>
      <sheetName val="расч. потерь 2 тепло"/>
      <sheetName val="3 тепло"/>
      <sheetName val="вода"/>
      <sheetName val="матер."/>
      <sheetName val="динамика"/>
      <sheetName val="отопление"/>
      <sheetName val="1(тх)"/>
      <sheetName val="гвс"/>
      <sheetName val="Аллаих"/>
      <sheetName val="по улусам"/>
      <sheetName val="по улусам (2)"/>
      <sheetName val="Аллаиховский"/>
      <sheetName val="Ф3"/>
      <sheetName val="14--1,2 (2)"/>
      <sheetName val="Ф4"/>
      <sheetName val="Ф5"/>
      <sheetName val="Ф7"/>
      <sheetName val="Ф8"/>
      <sheetName val="Ф9(свод)"/>
      <sheetName val="Ф9(дрова)"/>
      <sheetName val="Ф9(уголь)"/>
      <sheetName val="Ф9(нефть)"/>
      <sheetName val="мест бюд."/>
      <sheetName val="Прилож №1 к Ф1"/>
      <sheetName val="Прилож №2 к Ф1"/>
      <sheetName val="Прилож №3 к Ф1"/>
      <sheetName val="Прилож №5 к Ф1 улус и наслега"/>
      <sheetName val="Прилож №6 к Ф1 респуб."/>
      <sheetName val="рес"/>
      <sheetName val="Прилож №7 к Ф1 федералы"/>
      <sheetName val="фед"/>
      <sheetName val="Прилож №6 к Ф1"/>
      <sheetName val="Прилож №7 к Ф1"/>
      <sheetName val=" по отраслям прил.№7 к Ф1"/>
      <sheetName val="проч"/>
      <sheetName val="Прилож №8 к Ф1 (2)"/>
      <sheetName val="Финансово-экономическое управле"/>
      <sheetName val="Подготовк"/>
      <sheetName val="Данные для расчетов Жиганск"/>
      <sheetName val="Жиганский филиал"/>
      <sheetName val="Sheet1"/>
      <sheetName val="Свод (5)"/>
      <sheetName val="Вспомогат(по бюджетам)"/>
      <sheetName val="Вспомогат(по месяцам)"/>
      <sheetName val="Финансово-эконом"/>
      <sheetName val="Подгото"/>
      <sheetName val="1(свод труд)"/>
      <sheetName val="1(труд)"/>
      <sheetName val="3(труд1)"/>
      <sheetName val="3(Слес-рем)"/>
      <sheetName val="3(сварщик)"/>
      <sheetName val="3(Электрик)"/>
      <sheetName val="3(КИПиА)"/>
      <sheetName val="3(Дизель)"/>
      <sheetName val="8(труд)"/>
      <sheetName val="9(труд)"/>
      <sheetName val="13(ФОТ)"/>
      <sheetName val="МОП КХ"/>
      <sheetName val="МОП"/>
      <sheetName val="АДС"/>
      <sheetName val="2(труд)"/>
      <sheetName val="3(труд)"/>
      <sheetName val="4(труд)"/>
      <sheetName val="5(труд)"/>
      <sheetName val="6(труд)"/>
      <sheetName val="7(труд)"/>
      <sheetName val="10(труд)"/>
      <sheetName val="11(труд)"/>
      <sheetName val="12(труд)"/>
      <sheetName val="2(свод труд)"/>
      <sheetName val="Защит"/>
      <sheetName val="Финансово-экономическое у"/>
      <sheetName val="% распределения"/>
      <sheetName val="ВВил"/>
      <sheetName val="Вил"/>
      <sheetName val="ВКол"/>
      <sheetName val="Верхоянск"/>
      <sheetName val="Дж-Хая"/>
      <sheetName val="Мегино"/>
      <sheetName val="Нам"/>
      <sheetName val="НКол"/>
      <sheetName val="СКол"/>
      <sheetName val="У-Алдан"/>
      <sheetName val="Ханг"/>
      <sheetName val="Э-Быт"/>
      <sheetName val="газ"/>
      <sheetName val="нефть"/>
      <sheetName val="итого уголь"/>
      <sheetName val="уг1"/>
      <sheetName val="уголь"/>
      <sheetName val="дрова"/>
      <sheetName val="Бют.Нов.шк(н)"/>
      <sheetName val="Бют.Муз(д)"/>
      <sheetName val="Бют.Инт(у)"/>
      <sheetName val="Бют.Детс(у)"/>
      <sheetName val="Бют.Конт.(у)"/>
      <sheetName val="Бют.Больн(у)"/>
      <sheetName val="Бют.СДК(у)"/>
      <sheetName val="Тараг.ЦК(н)"/>
      <sheetName val="Тараг.ФАП(у)"/>
      <sheetName val="Тараг.Детс(у)"/>
      <sheetName val="Хороб.Шк(н)"/>
      <sheetName val="Хороб.Кв(н)"/>
      <sheetName val="Хороб.Больн(у)"/>
      <sheetName val="Тылл-1.Шк(н)"/>
      <sheetName val="Тылл-1.Кв(у)"/>
      <sheetName val="Тылл-1.Детс(у)"/>
      <sheetName val="Тылл-1.Инт(у)"/>
      <sheetName val="Жабыл.Цк(н)"/>
      <sheetName val="Жабыл.Гараж(у)"/>
      <sheetName val="Мельж.ЦК(н)"/>
      <sheetName val="Мельж.Гараж(у)"/>
      <sheetName val="Батар.ЦК(н)"/>
      <sheetName val="Алтан.ЦК(н)"/>
      <sheetName val="Ходор.Шк(н)"/>
      <sheetName val="Ходор.Детс(у)"/>
      <sheetName val="Ходоро СДК(у)"/>
      <sheetName val="Ходор.Гараж(у)"/>
      <sheetName val="Тюнг.ЦК-1(н)"/>
      <sheetName val="Тюнг.ЦК-2(н)"/>
      <sheetName val="Тюнг.Детс(у)"/>
      <sheetName val="Тюнг.Гараж(у)"/>
      <sheetName val="Жанх.Шк(н)"/>
      <sheetName val="Жанх.ЦК(н)"/>
      <sheetName val="Жанх.Детс(у)"/>
      <sheetName val="Майя.СОК(н)"/>
      <sheetName val="Майя.60кв жд(н)"/>
      <sheetName val="Майя.Гост(г)"/>
      <sheetName val="Майя.Кв(г)"/>
      <sheetName val="Майя.СХТ(г)"/>
      <sheetName val="Майя.РИК(г)"/>
      <sheetName val="Майя.ЦРБ(г)"/>
      <sheetName val="Майя.Баня(г)"/>
      <sheetName val="Майя.Кинопр.(г)"/>
      <sheetName val="Майя.Лесоп.(г)"/>
      <sheetName val="Майя.База ТКЭ(у)"/>
      <sheetName val="Майя.Мелиор.(у)"/>
      <sheetName val="Майя.Колб.(у)"/>
      <sheetName val="Майя.Гараж ЖКХ(у)"/>
      <sheetName val="Майя.Мегинострой(н)"/>
      <sheetName val="Н-Б.Н-ЛЭП(н)"/>
      <sheetName val="Н-Б.Шк(г)"/>
      <sheetName val="Н-БЛесхоз(у)"/>
      <sheetName val="Н-Б.ДРСУ(г)"/>
      <sheetName val="Н-Б.Солн(у)"/>
      <sheetName val="Н-Б.Энерг(у)"/>
      <sheetName val="Н-Б.Холб(г)"/>
      <sheetName val="Н-Б.ПМК ЛЭП(у)"/>
      <sheetName val="Хапт.Кв(г)"/>
      <sheetName val="Хапт.Адм.(у)"/>
      <sheetName val="Хапт.Инт(у)"/>
      <sheetName val="Чемоик.ЦК(у)"/>
      <sheetName val="Чемоик.ФАП(д)"/>
      <sheetName val="Чемоик.Спортз(у)"/>
      <sheetName val="Чемоик.Гараж(у)"/>
      <sheetName val="Нахар-1.ЦК(у)"/>
      <sheetName val="Нахар-1.Гараж(д)"/>
      <sheetName val="Нахар-1.Нач.шк(у)"/>
      <sheetName val="Бед.Гараж(у)"/>
      <sheetName val="Бед.Кв(у)"/>
      <sheetName val="Бед.Инт(у)"/>
      <sheetName val="Бед.ФАП(у)"/>
      <sheetName val="Холг.Гараж(д)"/>
      <sheetName val="Холг.Детс(у)"/>
      <sheetName val="Холг.ЦК(у)"/>
      <sheetName val="Дойд.Гараж(у)"/>
      <sheetName val="Дойд.Шк(у)"/>
      <sheetName val="Тылл-2.Скваж(д)"/>
      <sheetName val="Тылл-2.Гараж(д)"/>
      <sheetName val="Тылл-2.Адм(у)"/>
      <sheetName val="Тылл-2.Кв(у)"/>
      <sheetName val="Хара.Лицей(г)"/>
      <sheetName val="Хара.Кв(у)"/>
      <sheetName val="Павл.ЦК(г)"/>
      <sheetName val="Павл.Кв(г)"/>
      <sheetName val="Павл.Детса(у)"/>
      <sheetName val="Доллу.Шк(у)"/>
      <sheetName val="Доллу.СДК(у)"/>
      <sheetName val="Доллу.ФАП(у)"/>
      <sheetName val="Мегин.Шк(у)"/>
      <sheetName val="Мегин.Кв(у)"/>
      <sheetName val="Мегин.Гараж(у)"/>
      <sheetName val="Мегин.Детс(у)"/>
      <sheetName val="Мегин.Больн(у)"/>
      <sheetName val="Мегин.Физз(у)"/>
      <sheetName val="Мегин.Ароч(у)"/>
      <sheetName val="Догд.ЦК(у)"/>
      <sheetName val="Догд.ФАП(у)"/>
      <sheetName val="Догд.Гараж(у)"/>
      <sheetName val="Нахар-2.Больн(у)"/>
      <sheetName val="Нахар-2.Гараж(у)"/>
      <sheetName val="Нахар-2.Кв(у)"/>
      <sheetName val="Нахар-2.Солн(у)"/>
      <sheetName val="Рассол.Шк(у)"/>
      <sheetName val="Рассол.ФАП(у)"/>
      <sheetName val="Рассол.СДК(у)"/>
      <sheetName val="Томтор.ФОК(у)"/>
      <sheetName val="Томтор.ФАП(у)"/>
      <sheetName val="Восстановленная_внешняя_ссылка1"/>
      <sheetName val="Общий свод (2)"/>
      <sheetName val="Титульный лист"/>
      <sheetName val="кот12"/>
      <sheetName val="Свод ВС-10-11 ГУП ЖКХ"/>
      <sheetName val="Свод Подъем-10-11 ГУП ЖКХ"/>
      <sheetName val="ВС Абый инд"/>
      <sheetName val="ВС ТомНефт"/>
      <sheetName val="ВС Аллаих инд"/>
      <sheetName val="ВС Амга+Разн"/>
      <sheetName val="ВС Алд+Разн"/>
      <sheetName val="ВС Булун инд"/>
      <sheetName val="ВС Вил"/>
      <sheetName val="подъ Вил"/>
      <sheetName val="подъ с очист Вил11"/>
      <sheetName val="ВС В-Кол инд"/>
      <sheetName val="ВС В-Яна"/>
      <sheetName val="ВС В-Яна подв"/>
      <sheetName val="ВС Горн инд"/>
      <sheetName val="ВС Жиг"/>
      <sheetName val="ВС Коб"/>
      <sheetName val="ВС Зареч инд"/>
      <sheetName val="ВС М-Канг инд"/>
      <sheetName val="подъ М-Канг инд"/>
      <sheetName val="ВС Нам инд"/>
      <sheetName val="ВС Н-Кол инд"/>
      <sheetName val="ВС Нюрб+Разн"/>
      <sheetName val="подъ Нюрб+Разн"/>
      <sheetName val="ВС Нюрб (очист)+Разн"/>
      <sheetName val="ВС Олекм инд"/>
      <sheetName val="ВС Олекм подв инд"/>
      <sheetName val="ВС Кыллах+Разн"/>
      <sheetName val="ВС Оленек инд"/>
      <sheetName val="ВС Сунт+Разн"/>
      <sheetName val="подъ Сунт+Разн"/>
      <sheetName val="ВС Татта"/>
      <sheetName val="подъ Татта"/>
      <sheetName val="ВС Томп инд"/>
      <sheetName val="ВС Д-Хая инд"/>
      <sheetName val="ВС Ханг Селек+Разн"/>
      <sheetName val="ВС Ханг В-Б+Разн"/>
      <sheetName val="подъ Ханг"/>
      <sheetName val="ВС Маган инд"/>
      <sheetName val="подъ Маган инд"/>
      <sheetName val="ВС Аэроп"/>
      <sheetName val="Подвоз воды"/>
      <sheetName val="Выпадающие 2011)"/>
      <sheetName val="Выпадающие 2011) (2)"/>
      <sheetName val="Выпадающие 2011) (РЭК)"/>
      <sheetName val="Свод по ВО ГУП ЖКХ"/>
      <sheetName val="ВО Алдан"/>
      <sheetName val="ВО Аллаиха"/>
      <sheetName val="ВО Булун"/>
      <sheetName val="ВО В-Колым"/>
      <sheetName val="ВО Н-Колым"/>
      <sheetName val="ВО Томп"/>
      <sheetName val="ВО Дж-Хая"/>
      <sheetName val="ВО Аэроп"/>
      <sheetName val="топливо натур"/>
      <sheetName val="СВОД уделн затраты  на 1 тонну"/>
      <sheetName val="Уделка на 1 тн закуп"/>
      <sheetName val="Уделка на 1тн водный фрахт"/>
      <sheetName val="Уделка на 1тн магистр назем"/>
      <sheetName val="Уделка на 1тн внутр улус"/>
      <sheetName val="Уделка на 1тн хранение"/>
      <sheetName val="СВОД тыс.руб."/>
      <sheetName val="СВОД тыс.руб. без поставки"/>
      <sheetName val="топливо тыс.руб."/>
      <sheetName val="водный фрахт тыс.руб."/>
      <sheetName val="магистр назем тыс. руб."/>
      <sheetName val="внутриулусн транс тыс. руб."/>
      <sheetName val="хранение тыс. руб."/>
      <sheetName val="индексы"/>
      <sheetName val="тепло"/>
      <sheetName val="СВОД проверка"/>
      <sheetName val="ВВ"/>
      <sheetName val="джеб"/>
      <sheetName val="чур"/>
      <sheetName val="факторный по ГУП ЖКХ"/>
      <sheetName val="Свод 09"/>
      <sheetName val="Свод факт"/>
      <sheetName val="Свод 10"/>
      <sheetName val="Свод заяв"/>
      <sheetName val="Свод прог"/>
      <sheetName val="Н-Кур"/>
      <sheetName val="Том"/>
      <sheetName val="Том нб"/>
      <sheetName val="с.Амга"/>
      <sheetName val="Амг с жф"/>
      <sheetName val="Амг без жф"/>
      <sheetName val="В-В газ"/>
      <sheetName val="В-В проч"/>
      <sheetName val="Вил газ"/>
      <sheetName val="Вил дрова"/>
      <sheetName val="Вил ГКТ"/>
      <sheetName val="М-К"/>
      <sheetName val="Нам с жф"/>
      <sheetName val="Нам без жф"/>
      <sheetName val="Нюр с жф"/>
      <sheetName val="Нюр без жф"/>
      <sheetName val="Кылл"/>
      <sheetName val="Сун с жф"/>
      <sheetName val="Сун без жф"/>
      <sheetName val="Д-Хая"/>
      <sheetName val="Борогон"/>
      <sheetName val="У-А с жф"/>
      <sheetName val="У-А без жф"/>
      <sheetName val="Ханг зареч"/>
      <sheetName val="Ханг южн"/>
      <sheetName val="Э-Б дрова"/>
      <sheetName val="Э-Б нефть"/>
      <sheetName val="аэропорт"/>
      <sheetName val="внутриул. и магистр."/>
      <sheetName val="водители 2011"/>
      <sheetName val="слайд"/>
      <sheetName val="тариф"/>
      <sheetName val="мой"/>
      <sheetName val="сравнит. анализ"/>
      <sheetName val="2011г. тепло"/>
      <sheetName val="2011год"/>
      <sheetName val="факт затраты"/>
      <sheetName val="факт.площадь"/>
      <sheetName val="факт затраты (без отопл)"/>
      <sheetName val="СВОД с ЗП"/>
      <sheetName val="Анализ пргноза"/>
      <sheetName val="причины"/>
      <sheetName val="топливо"/>
      <sheetName val="диагр_уголь"/>
      <sheetName val="Лист4"/>
      <sheetName val="Испр"/>
      <sheetName val="Диаграммы"/>
      <sheetName val="ДИАГ_вода"/>
      <sheetName val="23"/>
      <sheetName val="Инструкция"/>
      <sheetName val="Список организаций"/>
      <sheetName val="Баланс производство"/>
      <sheetName val="Баланс передача"/>
      <sheetName val="Калькуляция"/>
      <sheetName val="Тарифное меню1"/>
      <sheetName val="Тарифное меню2"/>
      <sheetName val="Комментарии"/>
      <sheetName val="Диапазоны"/>
      <sheetName val="TEHSHEET"/>
      <sheetName val="REESTR"/>
      <sheetName val="Заголовок2"/>
      <sheetName val="Заголовок"/>
      <sheetName val="5тх"/>
      <sheetName val="Потери Дж.Хая"/>
      <sheetName val="5 тх МОСКВА"/>
      <sheetName val="7тх"/>
      <sheetName val="1 тх свод измен"/>
      <sheetName val="1(тх)свод"/>
      <sheetName val="1 тх ПК измен"/>
      <sheetName val="1тх ПК"/>
      <sheetName val="1 тх ЦК измен"/>
      <sheetName val="1тх ЦК"/>
      <sheetName val="1 тх КОС измен"/>
      <sheetName val="1тх КОС"/>
      <sheetName val="1 тх БК измен "/>
      <sheetName val="1тх БК"/>
      <sheetName val="1(тепло)"/>
      <sheetName val=" потребители 1 тепло"/>
      <sheetName val="справочн. "/>
      <sheetName val="расх %"/>
      <sheetName val="этажн."/>
      <sheetName val="норм.вода"/>
      <sheetName val="Реестр"/>
      <sheetName val="Ф1-(свод)07"/>
      <sheetName val="02.03.09(в значениях)"/>
      <sheetName val="утвержд сумм (в знач)"/>
      <sheetName val="утвержд сумм"/>
      <sheetName val="Контракты Директоров"/>
      <sheetName val="Контракты Гл.инженеров"/>
      <sheetName val="Контракты Гл.бухгалтеров"/>
      <sheetName val="Контракты Гл.экономистов"/>
      <sheetName val="свод сумм"/>
      <sheetName val="Томтор.СДК(у)"/>
      <sheetName val="Томтор.Гараж(у)"/>
      <sheetName val="Томтор.Шк(у)"/>
      <sheetName val="Томтор.Адм(у)"/>
      <sheetName val="Аранг.ЦК(у)"/>
      <sheetName val="Аранг.Детс(у)"/>
      <sheetName val="Аранг.Гараж(у)"/>
      <sheetName val="Морук.ЦК(у)"/>
      <sheetName val="Мегюр.ЦК(у)"/>
      <sheetName val="Мегюр.СДК(у)"/>
      <sheetName val="Мегюр.Скваж(у)"/>
      <sheetName val="Мегюр.Гараж(у)"/>
      <sheetName val="м-канг (2)"/>
      <sheetName val="Пояснение"/>
      <sheetName val="Пояснение (2)"/>
      <sheetName val="Пояснение 3"/>
      <sheetName val="Закл. для отправки"/>
      <sheetName val="Данные для расчетов Амгинский"/>
      <sheetName val="Формы и"/>
      <sheetName val="Подготовка к защите бюджета 20"/>
      <sheetName val="Ф"/>
      <sheetName val="Рабочий ст"/>
      <sheetName val="Ф1-(свод)08"/>
      <sheetName val="Ф1-(свод)09"/>
      <sheetName val="Ф1 (уголь)"/>
      <sheetName val="Ф1(нефть)"/>
      <sheetName val="Ф1-ЖФ(отопл)"/>
      <sheetName val="Ф1-ЖФ(гвс)"/>
      <sheetName val="Ф1-ЖФ(хвс,во)"/>
      <sheetName val="П1(образ)"/>
      <sheetName val="П2(здрав)"/>
      <sheetName val="П3(кул)"/>
      <sheetName val="П4(адм)"/>
      <sheetName val="П5(респ)"/>
      <sheetName val="П5(респ центр)"/>
      <sheetName val="П6(фед)"/>
      <sheetName val="П6(фед центр)"/>
      <sheetName val="П7(проч)"/>
      <sheetName val="П7(проч центр)"/>
      <sheetName val="П8(жф)"/>
      <sheetName val="П9(собств)"/>
      <sheetName val="Показатели по гр"/>
      <sheetName val="НФОТ"/>
      <sheetName val="Свод по разрядам"/>
      <sheetName val="Тит"/>
      <sheetName val="Заключение"/>
      <sheetName val="АУП 4"/>
      <sheetName val="МОП4"/>
      <sheetName val="Легк авт4"/>
      <sheetName val="АДС4"/>
      <sheetName val="тепло4"/>
      <sheetName val="Внутрул4"/>
      <sheetName val="тех.тр.дрова4"/>
      <sheetName val="ПВК4"/>
      <sheetName val="Дрова КХ4"/>
      <sheetName val="ВОС4"/>
      <sheetName val="ПВв4"/>
      <sheetName val="Автотр 4"/>
      <sheetName val="АЗС4"/>
      <sheetName val="склад4"/>
      <sheetName val="(труд13-ФОТ)"/>
      <sheetName val="тепло свод"/>
      <sheetName val="КОС"/>
      <sheetName val="ВОС"/>
      <sheetName val="водитель ОХР"/>
      <sheetName val="СВОД "/>
      <sheetName val="СВОДЯРА"/>
      <sheetName val="СВОД по ГУП-у"/>
      <sheetName val="СВОД пофил"/>
      <sheetName val="М-Канг"/>
      <sheetName val="СКолыма"/>
      <sheetName val="Таатта"/>
      <sheetName val="труд-13 ФОТ тепло"/>
      <sheetName val="труд-13 ФОТ водозабор"/>
      <sheetName val="АУП МОП"/>
      <sheetName val="структ-свод"/>
      <sheetName val="Структ"/>
      <sheetName val="Сварщики"/>
      <sheetName val="Слесари т.с."/>
      <sheetName val="Электр"/>
      <sheetName val="Маш-коч"/>
      <sheetName val="Операторы"/>
      <sheetName val="Тарифная сетка"/>
      <sheetName val="раб"/>
      <sheetName val="автотр"/>
      <sheetName val="коч, опер"/>
      <sheetName val="слесаря"/>
      <sheetName val="Алдан АУП"/>
      <sheetName val="Алдан КОС"/>
      <sheetName val="Алдан ВЗ"/>
      <sheetName val="Алдан ВОС (СВОД)"/>
      <sheetName val="Алдан АДС"/>
      <sheetName val="Алдан тепло (СВОД)"/>
      <sheetName val="тепло Алдан (всего)"/>
      <sheetName val="Алдан ВОС"/>
      <sheetName val="тепло Алдан"/>
      <sheetName val="тепло Кутана"/>
      <sheetName val="тепло Н.Куранах"/>
      <sheetName val="Алдан АДС (2)"/>
      <sheetName val="Алдан МОП КХ"/>
      <sheetName val="Алдан МОП"/>
      <sheetName val="Закл(без подр)"/>
      <sheetName val="АУП4"/>
      <sheetName val="Легк4"/>
      <sheetName val="тепло ЦК"/>
      <sheetName val="тп ЦК"/>
      <sheetName val="МОП ЦК"/>
      <sheetName val="МОП КХ4"/>
      <sheetName val="Внул4"/>
      <sheetName val="техтр4"/>
      <sheetName val="Хр.уг4"/>
      <sheetName val="Дрова4"/>
      <sheetName val="ВЗБ4"/>
      <sheetName val="Колл4"/>
      <sheetName val="Автр4"/>
      <sheetName val="Всп4"/>
      <sheetName val="МТС4"/>
      <sheetName val="3(свод)"/>
      <sheetName val="3(Слес-ремонт)"/>
      <sheetName val="форма 10"/>
      <sheetName val="МОП КХ (ЦК)"/>
      <sheetName val="13 (ФОТ) СВОД"/>
      <sheetName val="13(ФОТ) (Алдан)"/>
      <sheetName val="13(ФОТ) (Кутана)"/>
      <sheetName val="13(ФОТ) (Томмот)"/>
      <sheetName val="13(ФОТ) (Нижний Куранах)"/>
      <sheetName val="13(ФОТ) ППП"/>
      <sheetName val="факт ппп"/>
      <sheetName val="13(ФОТ) (Нижний Куранах) ППП"/>
      <sheetName val="факт ППП Н.Куранах"/>
      <sheetName val="Доп.ППП факт"/>
      <sheetName val="13(ФОТ) АУП МОП"/>
      <sheetName val="факт АУП МОП"/>
      <sheetName val="13 (ФОТ) АДС"/>
      <sheetName val="факт адс"/>
      <sheetName val="13 (ФОТ) РММ"/>
      <sheetName val="Содгар"/>
      <sheetName val="13 (ФОТ) Содгар"/>
      <sheetName val="В.Янск (ВЗ)"/>
      <sheetName val="В.Янск (ВОС)"/>
      <sheetName val="В.Янск (АУП)"/>
      <sheetName val="В.Янск (АДС)"/>
      <sheetName val="В.Янск (тепло)"/>
      <sheetName val="Труд 13-ФОТ водозаб и водоснабж"/>
      <sheetName val="Труд 13 -ФОТ АДС"/>
      <sheetName val="(труд13-ФОТ) Кот.хоз."/>
      <sheetName val="Труд 13-ФОТАвтотранспорт "/>
      <sheetName val="Сунтар АУП"/>
      <sheetName val="ВЗ (новый) (2)"/>
      <sheetName val="ВОС (новый)"/>
      <sheetName val="АДС (новый) (СВОД)"/>
      <sheetName val="Сунтар тепло (СВОД)"/>
      <sheetName val="Сунтар тепло"/>
      <sheetName val="АДС (новый)"/>
      <sheetName val="ВОС (новый  )"/>
      <sheetName val="Вилюяйск АУП (СВОД)"/>
      <sheetName val="Вилюйск ВЗ"/>
      <sheetName val="Вилюйск АДС"/>
      <sheetName val="Вилюйск Тепло (СВОД)"/>
      <sheetName val="Вилюйск АУП"/>
      <sheetName val="Вилюйск Тепло"/>
      <sheetName val="(труд13-ФОТ) (газ)"/>
      <sheetName val="(труд13-ФОТ) (гзк)"/>
      <sheetName val="(труд13-ФОТ) (дрова)"/>
      <sheetName val="Горный АУП"/>
      <sheetName val="Горный ВОС"/>
      <sheetName val="Горный АДС"/>
      <sheetName val="Горный тепло"/>
      <sheetName val="Испр Горный"/>
      <sheetName val="Вариант Горный"/>
      <sheetName val="Тепло подрядчики"/>
      <sheetName val="СВОД Анализ"/>
      <sheetName val="СВОД АНАЛИЗ (8-4)"/>
      <sheetName val="Тепло подрядчики (8)"/>
      <sheetName val="Тепло подрядчики (4)"/>
      <sheetName val="Свод обьемов"/>
      <sheetName val="МОП КХ (8)"/>
      <sheetName val="МОП КХ (4)"/>
      <sheetName val="ВОС подр(по догов)"/>
      <sheetName val="ВОС подрядчики"/>
      <sheetName val="Свод ЗП помесячно (Вода)"/>
      <sheetName val="Свод ЗП помесячно (Тепло)"/>
      <sheetName val="ДжХая"/>
      <sheetName val="Жиг"/>
      <sheetName val="УАлд"/>
      <sheetName val="ЭБыт"/>
      <sheetName val="АЯкт"/>
      <sheetName val="1"/>
      <sheetName val="2"/>
      <sheetName val="3"/>
      <sheetName val="4"/>
      <sheetName val="5"/>
      <sheetName val="6"/>
      <sheetName val="7"/>
      <sheetName val="8"/>
      <sheetName val="9"/>
      <sheetName val="10"/>
      <sheetName val="11"/>
      <sheetName val="12"/>
      <sheetName val="В.Колыма АУП"/>
      <sheetName val="В.Колыма КОС"/>
      <sheetName val="В.Колыма тепло"/>
      <sheetName val="В.Колыма АДС"/>
      <sheetName val="В.Колыма КОС (СВОД)"/>
      <sheetName val="В.Колыма АУП (СВОД)"/>
      <sheetName val="Закл"/>
      <sheetName val="АУП бух"/>
      <sheetName val="склад"/>
      <sheetName val="Легк автомобили"/>
      <sheetName val="Внутрул"/>
      <sheetName val="Магистр"/>
      <sheetName val="Техн трансп (уголь)"/>
      <sheetName val="П.В.Кот."/>
      <sheetName val="П.в.нас"/>
      <sheetName val="ВК"/>
      <sheetName val="ЖЭУ"/>
      <sheetName val="Саноч"/>
      <sheetName val="АЗС"/>
      <sheetName val="Легк авто"/>
      <sheetName val="АДС "/>
      <sheetName val="Техн тр"/>
      <sheetName val="ПВК"/>
      <sheetName val="ПВВ"/>
      <sheetName val="Томпонский участок 2009г"/>
      <sheetName val="Д -Хаинский участок 2009г"/>
      <sheetName val="республиканский"/>
      <sheetName val="федеральный"/>
      <sheetName val="Томп (2)"/>
      <sheetName val="ПМК-Мелиорации"/>
      <sheetName val="СХТ-Гараж"/>
      <sheetName val="МПМК"/>
      <sheetName val="Кэскил"/>
      <sheetName val="Вет.участок"/>
      <sheetName val="СХТ-Центральная"/>
      <sheetName val="МСШ-2"/>
      <sheetName val="РАПО"/>
      <sheetName val="ММК"/>
      <sheetName val="РДК"/>
      <sheetName val=" Центральная"/>
      <sheetName val="1 тх свод Мюрю"/>
      <sheetName val="Свод Батагайский  наслег"/>
      <sheetName val="1 тх Школа"/>
      <sheetName val="1тх СДК"/>
      <sheetName val="1тх Больница"/>
      <sheetName val="Свод Баягантайский наслег"/>
      <sheetName val="1 тх Центральная"/>
      <sheetName val="1 тх Больница"/>
      <sheetName val="Тумул-Центр."/>
      <sheetName val="Общеж. учит."/>
      <sheetName val="Тумул-Больница"/>
      <sheetName val="Тумул-Интернат"/>
      <sheetName val="Ары-Тит - Школа"/>
      <sheetName val="Элэсин-Центр."/>
      <sheetName val="Свод Бяриинский наслег"/>
      <sheetName val="1тх АТС"/>
      <sheetName val="Свод Дюпсюнский наслег"/>
      <sheetName val="1тх Детсад"/>
      <sheetName val="1тх скважина"/>
      <sheetName val="1тх Бяди КСК"/>
      <sheetName val="1тх Бяди Школа"/>
      <sheetName val="Ус-Кюел-Центр"/>
      <sheetName val="Ус-Кюел-Центр ДиМ"/>
      <sheetName val="Окоемовка-Центр."/>
      <sheetName val="Балаганнах-Детсад"/>
      <sheetName val="Свод Легойский наслег"/>
      <sheetName val="Кептени-Центр."/>
      <sheetName val="Кептени-Больница"/>
      <sheetName val="Хомустах-Центр."/>
      <sheetName val="Далы-Школа"/>
      <sheetName val="10(тх) (по месяцам)"/>
      <sheetName val="6(тх)-2 (2)"/>
      <sheetName val="7(тх)-3 (2)"/>
      <sheetName val="1(тх) "/>
      <sheetName val="2(тх) "/>
      <sheetName val="5(тх)-1"/>
      <sheetName val="6(тх)-2"/>
      <sheetName val="7(тх)-3"/>
      <sheetName val="8(тх)-4"/>
      <sheetName val="Бейдинга-Школа"/>
      <sheetName val="Бейдинга-Центр."/>
      <sheetName val="Арылах-Школа"/>
      <sheetName val="Арылах-Спецшкола"/>
      <sheetName val="Арылах-СДК"/>
      <sheetName val="Арылах-Детсад"/>
      <sheetName val="Центр. Суотту"/>
      <sheetName val="Детсад-Суотту"/>
      <sheetName val="Больница- Суотту"/>
      <sheetName val="СДК- Суотту"/>
      <sheetName val="Школа-Хоногор"/>
      <sheetName val="СДК-Сасылыкан"/>
      <sheetName val="Лицей №19"/>
      <sheetName val="СВод Тит-Арынский"/>
      <sheetName val="1тх Тит-Ары Ыллык"/>
      <sheetName val="СВОД 1-й Хоринский наслег"/>
      <sheetName val="1 тх Чаран Центральная"/>
      <sheetName val="1 тх Чаран Детсад"/>
      <sheetName val="форма"/>
      <sheetName val="%"/>
      <sheetName val="Приложение №1"/>
      <sheetName val="Приложение №1Ситта"/>
      <sheetName val="Форма 1 тх (тариф Намцы)"/>
      <sheetName val="Форма 1 тх (тариф насл с ЖФ)"/>
      <sheetName val="Форма 1 тх (тариф насл без ЖФ"/>
      <sheetName val="Форма 1 тх"/>
      <sheetName val="Форма 1 тх (Ситта)"/>
      <sheetName val="Форма 1 тх (Намский + Ситта) "/>
      <sheetName val="5(тх)свод (по тарифам)"/>
      <sheetName val="5(тх) тариф Намцы"/>
      <sheetName val="5(тх) наслежные с жилфондом"/>
      <sheetName val="5(тх)наслежные без жилфонда"/>
      <sheetName val="5(тх)свод"/>
      <sheetName val="5(тх)газ"/>
      <sheetName val="5(тх)газконд"/>
      <sheetName val="5(тх)уголь"/>
      <sheetName val="7(тх) "/>
      <sheetName val="Муома"/>
      <sheetName val="МБ"/>
      <sheetName val="РБ"/>
      <sheetName val="ФБ"/>
      <sheetName val="ПР"/>
      <sheetName val="НАСЕЛ"/>
      <sheetName val="ДОТАЦ"/>
      <sheetName val="Эв-Быт"/>
      <sheetName val="пояснительная"/>
      <sheetName val="ф1(водоснабжение)"/>
      <sheetName val="ф2(вс)"/>
      <sheetName val="ф3(вс)"/>
      <sheetName val="ф4(вс)"/>
      <sheetName val="ф5(вс)"/>
      <sheetName val="ф6(вс)"/>
      <sheetName val="ф7(вс)"/>
      <sheetName val="ф8(вс)"/>
      <sheetName val="1внутр вода"/>
      <sheetName val="новые"/>
      <sheetName val="Таб3"/>
      <sheetName val="Таб4"/>
      <sheetName val="Таб6"/>
      <sheetName val="ф1(матер.)+"/>
      <sheetName val="ф4(тх)+Водоснабж."/>
      <sheetName val="штатное 2008"/>
      <sheetName val="труд 1вс"/>
      <sheetName val="труд 2 вс"/>
      <sheetName val="16 (труд)"/>
      <sheetName val="расчет Гкалл"/>
      <sheetName val="ам.1"/>
      <sheetName val="ам.4"/>
      <sheetName val="ам.свод"/>
      <sheetName val="схема"/>
      <sheetName val="ЗАЩИ"/>
      <sheetName val="Подготовка к защите бюд"/>
      <sheetName val="П"/>
      <sheetName val="Формы МЖКХ-Off"/>
      <sheetName val="Защита в"/>
      <sheetName val="Табл"/>
      <sheetName val="Мои документы"/>
      <sheetName val="Подготовка к защите бю"/>
      <sheetName val="Формы МЖКХ-Of"/>
      <sheetName val="Ра"/>
      <sheetName val="Финансово-э"/>
      <sheetName val="Формы исходных дан"/>
      <sheetName val="Финан"/>
      <sheetName val="М"/>
      <sheetName val="Дан"/>
      <sheetName val="1(вс)"/>
      <sheetName val="для 2(вс)"/>
      <sheetName val="6(вс)"/>
      <sheetName val="Прил 2"/>
      <sheetName val="Рабочий сто"/>
      <sheetName val="Приложение №1(по дог.на 2010)"/>
      <sheetName val="Приложение №1(с дополн.объект)"/>
      <sheetName val="поясн"/>
      <sheetName val="свод по отклонениям"/>
      <sheetName val="Прочие"/>
      <sheetName val="собств"/>
      <sheetName val="0"/>
      <sheetName val="1квартал"/>
      <sheetName val="по статьям"/>
      <sheetName val="по статьям2"/>
      <sheetName val="ГУП согласов"/>
      <sheetName val="Аэроп"/>
      <sheetName val="Кут2"/>
      <sheetName val="НКур"/>
      <sheetName val="Том (нефт)"/>
      <sheetName val="Вил-газ "/>
      <sheetName val="Вил-др"/>
      <sheetName val="Вил-ГКТ"/>
      <sheetName val="Д-Х"/>
      <sheetName val="с.Намцы"/>
      <sheetName val="п. Сунтар"/>
      <sheetName val="Мюрю"/>
      <sheetName val="Ханг Зар"/>
      <sheetName val="Э-Бнефть"/>
      <sheetName val="Э-Бдрова"/>
      <sheetName val="Кысыл-Сыр"/>
      <sheetName val="Свод по ВС"/>
      <sheetName val="Свод по подъемам"/>
      <sheetName val="Свод с фактВС"/>
      <sheetName val="Абый 24.07"/>
      <sheetName val="Алд24.08"/>
      <sheetName val="Аллаих28.08"/>
      <sheetName val="Амга10.08"/>
      <sheetName val="Булун 24.07"/>
      <sheetName val="Вил12.09 ВС"/>
      <sheetName val="Вил12.09 подъем"/>
      <sheetName val="В-Кол 24.07"/>
      <sheetName val="В-Яна02.09 ВС"/>
      <sheetName val="В-Яна02.09 с подв"/>
      <sheetName val="Горн21.08 Свод"/>
      <sheetName val="Жиг27.08"/>
      <sheetName val="Кобяй 03.07"/>
      <sheetName val="Зареч13.08"/>
      <sheetName val="М-Кангподъем"/>
      <sheetName val="Нам10.08"/>
      <sheetName val="Н-Кол 31.07"/>
      <sheetName val="Нюрба02.09 ВС"/>
      <sheetName val="Нюрба02.09 подъем"/>
      <sheetName val="Олекм02.09 ВС"/>
      <sheetName val="Олекм02.09 с подв"/>
      <sheetName val="Оленек 31.07"/>
      <sheetName val="Сунт систВСочищ 24.07"/>
      <sheetName val="Сунт подъем 24.07"/>
      <sheetName val="Татта02.09"/>
      <sheetName val="Томп28.08"/>
      <sheetName val="Дж-Хая 31.07"/>
      <sheetName val="Ханг 07.08 Селекц"/>
      <sheetName val="Ханг 07.08 В-Бестях"/>
      <sheetName val="Маган07.08 систВС"/>
      <sheetName val="Маган07.08 подъем"/>
      <sheetName val="Ханг 07.08 подъем"/>
      <sheetName val="Булун 24.07 (2)"/>
      <sheetName val="В-Кол 24.07 (2)"/>
      <sheetName val="Дж-Хая 31.07 (2)"/>
      <sheetName val="Маган07.08 систВС (2)"/>
      <sheetName val="Маган07.08 подъем (2)"/>
      <sheetName val="Томп28.08 (2)"/>
      <sheetName val="М-Канг Центр"/>
      <sheetName val="М-Канг Майя подъем"/>
      <sheetName val="М-КангМайя с подв"/>
      <sheetName val="М-КангН-Б с подв"/>
      <sheetName val="М-Канг Н-Б подъем"/>
      <sheetName val="М-КангП-Х с подв"/>
      <sheetName val="Таб 2"/>
      <sheetName val="Таб 5подвоз"/>
      <sheetName val="Инф (тар)"/>
      <sheetName val="Инф %"/>
      <sheetName val="1(во)"/>
      <sheetName val="2(во)"/>
      <sheetName val="3 (во)"/>
      <sheetName val="4(во)"/>
      <sheetName val="5(во)"/>
      <sheetName val="нов форма 2011 КОС"/>
      <sheetName val="6(во)"/>
      <sheetName val="приложение 1 (2)"/>
      <sheetName val="7(во)"/>
      <sheetName val="1(вс)Ст. Сайды(подв.вода)"/>
      <sheetName val="1(вс)Новый"/>
      <sheetName val="1(вс)Кескил"/>
      <sheetName val="1(вс)М-Алдан"/>
      <sheetName val="1(вс)Т-Ключ"/>
      <sheetName val="1(вс)Развилка"/>
      <sheetName val="1(вс)Аэропорт"/>
      <sheetName val="1(вс)Тополиное"/>
      <sheetName val="1(вс)Хандыга"/>
      <sheetName val="1(вс)централизованное водоснабж"/>
      <sheetName val="1(вс)подъем"/>
      <sheetName val="приложение 1"/>
      <sheetName val="нов форма 2011ВОС"/>
      <sheetName val="10 тх правильное"/>
      <sheetName val="ВС"/>
      <sheetName val="2010 Вода на техн. "/>
      <sheetName val="Томпонский"/>
      <sheetName val="Сунт систВСочищ "/>
      <sheetName val="Сунт подъем "/>
      <sheetName val="ВилюйВС"/>
      <sheetName val="Вилюй подъем"/>
      <sheetName val="Маган систВС"/>
      <sheetName val="Маган подъем"/>
      <sheetName val="Абый "/>
      <sheetName val="Томмотская НБ"/>
      <sheetName val="Булун "/>
      <sheetName val="В-Колыма"/>
      <sheetName val="В-Янский"/>
      <sheetName val="В-Янский  с подв"/>
      <sheetName val="Витим (ВС)"/>
      <sheetName val="Кобяйский"/>
      <sheetName val="Намский"/>
      <sheetName val="Н-Колыма"/>
      <sheetName val="Нюрбинский"/>
      <sheetName val="Нюрба подъем"/>
      <sheetName val="Олекма ВС"/>
      <sheetName val="Олекма с подв"/>
      <sheetName val="Оленек "/>
      <sheetName val="Ханг  Селекц"/>
      <sheetName val="Ханг  В-Бестях"/>
      <sheetName val="Ханг  подъем"/>
      <sheetName val="перечень "/>
      <sheetName val="УНИФ"/>
      <sheetName val="Гаражи"/>
      <sheetName val="Общ"/>
      <sheetName val="распред общАДС"/>
      <sheetName val="1 транспорт"/>
      <sheetName val="2 транспорт"/>
      <sheetName val="Технол.вода"/>
      <sheetName val="5 (тх)2010"/>
      <sheetName val="ИД "/>
      <sheetName val="3(тх) РЭК 2011г"/>
      <sheetName val="перечень"/>
      <sheetName val="1 (ам)"/>
      <sheetName val="вариант энергетиков 6 (вс)"/>
      <sheetName val="Подъем"/>
      <sheetName val="Свод по ВО"/>
      <sheetName val="В-Колым"/>
      <sheetName val="Н-Колым"/>
      <sheetName val="Томп"/>
      <sheetName val="Таб 5"/>
      <sheetName val="Аллаиховский (2)"/>
      <sheetName val="Прилож №8 к Ф1(проч)"/>
      <sheetName val="Прилож №3 к Ф1(культ)"/>
      <sheetName val="Прилож №2 к Ф1(здрав)"/>
      <sheetName val="Прилож №6 к Ф1(респ) "/>
      <sheetName val="Прилож №7 к Ф1(федер)"/>
      <sheetName val="Прилож №10 к Ф1(внутр)"/>
      <sheetName val="Прилож №1 к Ф1 (образ)"/>
      <sheetName val="Прилож №5 к Ф1(управ)"/>
      <sheetName val="Прилож №12(жфподкл)"/>
      <sheetName val="ф1-жф(отоп)"/>
      <sheetName val="ф1-жф(отопдоп)"/>
      <sheetName val="ф1-жф(гвсдоп)"/>
      <sheetName val="Ф1(сырая нефть)"/>
      <sheetName val="ф1(газоконденсат)"/>
      <sheetName val="ф1(уголь)"/>
      <sheetName val="Ф1-свод"/>
      <sheetName val="ф2-по видам топлива"/>
      <sheetName val="Ф2-свод"/>
      <sheetName val="П4Ф6"/>
      <sheetName val="Ф9-свод"/>
      <sheetName val="Ф9(НКТ)"/>
      <sheetName val="ф9(ГК)"/>
      <sheetName val="ф9(КУ)"/>
      <sheetName val="1(тх)Покровск"/>
      <sheetName val="1(тх)Заречный"/>
      <sheetName val="1(тх)Южный"/>
      <sheetName val="5(тх)Покровск"/>
      <sheetName val="5(тх)Южный"/>
      <sheetName val="5(тх)Заречный"/>
      <sheetName val="5(тх)нефть"/>
      <sheetName val="6(тх)Мин энерго"/>
      <sheetName val="6(тх) (2010) факт"/>
      <sheetName val="6(тх) (2010)"/>
      <sheetName val="6(тх) (2011)"/>
      <sheetName val="6(тх) (2012)"/>
      <sheetName val="8(тх) "/>
      <sheetName val="9(тх)2011"/>
      <sheetName val="прил 1"/>
      <sheetName val="План"/>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Инстр к приказу"/>
      <sheetName val="Инстр"/>
      <sheetName val="схема распр.отпускных в своде"/>
      <sheetName val="Показ по гр"/>
      <sheetName val="Свод по разр"/>
      <sheetName val="Легк"/>
      <sheetName val="тепло "/>
      <sheetName val="Вн.ул."/>
      <sheetName val="техтр"/>
      <sheetName val="Уг. скл."/>
      <sheetName val="вдзб"/>
      <sheetName val="Вспм"/>
      <sheetName val="Приложение"/>
      <sheetName val="Приложение (ПРОЦ)"/>
      <sheetName val="себестоимость"/>
      <sheetName val="к начислению"/>
      <sheetName val="Приложение (2)"/>
      <sheetName val="таб8"/>
      <sheetName val="Алдан (утв)"/>
      <sheetName val="Маган+Аэропорт"/>
      <sheetName val="анализ  пообъектно"/>
      <sheetName val=" 1 (вс) 2011"/>
      <sheetName val="3 (вс)"/>
      <sheetName val="4 (вс)"/>
      <sheetName val="5 (вс)"/>
      <sheetName val="6(вс) измен"/>
      <sheetName val="7 (вс)"/>
      <sheetName val="8 (вс)"/>
      <sheetName val="табл вода"/>
      <sheetName val="ГОК"/>
      <sheetName val="Квартальная ТП"/>
      <sheetName val="ГРП"/>
      <sheetName val="ВГСЧ"/>
      <sheetName val="РСУ"/>
      <sheetName val="Подхоз"/>
      <sheetName val="ПМК"/>
      <sheetName val="Квартальная ап"/>
      <sheetName val="Центральная ап"/>
      <sheetName val="Геолог"/>
      <sheetName val="Черемушки"/>
      <sheetName val="УДК"/>
      <sheetName val="Больница"/>
      <sheetName val="Расчет воды Сангар"/>
      <sheetName val="жфГВС"/>
      <sheetName val="жфХВС"/>
      <sheetName val="ОХЗ_КТС"/>
      <sheetName val="Интерполяция"/>
      <sheetName val="Ф1-(свод)08 по договорам"/>
      <sheetName val="Ф1-(свод)2010"/>
      <sheetName val="Ф1-(свод)2010 с Ситтой "/>
      <sheetName val="Ф1(гзк)"/>
      <sheetName val="Ф1(газ)"/>
      <sheetName val="Ф1(газ) Ситта"/>
      <sheetName val="Ф1(дт)"/>
      <sheetName val="Ф1(дрова)"/>
      <sheetName val="Ф1-ЖФ(отопл) Намский"/>
      <sheetName val="Ф1-ЖФ(гвс) намский"/>
      <sheetName val="Ф1-ЖФ(хвс,во) Намский"/>
      <sheetName val="Ф1(нефть.изм)"/>
      <sheetName val="газк(добавочн)"/>
      <sheetName val="Ф1(диз топливо)"/>
      <sheetName val="Ф1-жф(гв)"/>
      <sheetName val="Ф2 (уголь)"/>
      <sheetName val="Ф2 (нефть)"/>
      <sheetName val="Ф2(газоконд)"/>
      <sheetName val="Ф2(диз.топ.)"/>
      <sheetName val="Ф2(газ) "/>
      <sheetName val="Ф3сх завоза(свод)"/>
      <sheetName val="Ф4магистр тран"/>
      <sheetName val="Ф5внутр"/>
      <sheetName val="Ф6хранение"/>
      <sheetName val="Ф7складск"/>
      <sheetName val="Ф8хранугля"/>
      <sheetName val="Ф9-свод(закуп)"/>
      <sheetName val="Ф9(газконд)"/>
      <sheetName val="Ф9(дизт)"/>
      <sheetName val="Ф9(газ)"/>
      <sheetName val="Прилож №4 к Ф1"/>
      <sheetName val="Прилож №5 к Ф1"/>
      <sheetName val="Прилож №8 к Ф1"/>
      <sheetName val="ГСМ"/>
      <sheetName val="ГСМ цена"/>
      <sheetName val="Приложения№2-6"/>
      <sheetName val="Приложения№2-5"/>
      <sheetName val="Приложения№2-4"/>
      <sheetName val="Приложения№2-3"/>
      <sheetName val="Приложения№2-2"/>
      <sheetName val="Приложения№2-1"/>
      <sheetName val="БУРС"/>
      <sheetName val="4(тх) филиал"/>
      <sheetName val="5(тх) филиал"/>
      <sheetName val="5(тх) Москва"/>
      <sheetName val="9(тх) филиал"/>
      <sheetName val="9(тх) Москва"/>
      <sheetName val="10(тх) Филиал"/>
      <sheetName val="уголь 1"/>
      <sheetName val="уголь 2"/>
      <sheetName val="1-ам."/>
      <sheetName val="3-ам."/>
      <sheetName val="4-ам."/>
      <sheetName val="Т. тр. (уг) Катя 20.12.07"/>
      <sheetName val="Колл"/>
      <sheetName val="Вспомог"/>
      <sheetName val="Верх Колыма 1 "/>
      <sheetName val="Ниж Колыма 1"/>
      <sheetName val="Сунтар1"/>
      <sheetName val="Татта1"/>
      <sheetName val="томпо1"/>
      <sheetName val="УА1"/>
      <sheetName val="Хангаласс1"/>
      <sheetName val="Чурапча1"/>
      <sheetName val="ЭБыт1"/>
      <sheetName val="Маган1"/>
      <sheetName val="экономия"/>
      <sheetName val="Бол Тюм"/>
      <sheetName val="Адм Тюм"/>
      <sheetName val="ВЦ Тюм"/>
      <sheetName val="ЦК Тюм"/>
      <sheetName val="ТТ Нюрба"/>
      <sheetName val="ТТ наслег"/>
      <sheetName val="ТТ после"/>
      <sheetName val="ТЗР до"/>
      <sheetName val="ТЗР после"/>
      <sheetName val="Н-шк Дж"/>
      <sheetName val="Гар Дж"/>
      <sheetName val="Титульный"/>
      <sheetName val="Список листов"/>
      <sheetName val="Таб 1"/>
      <sheetName val="Таб 2.1"/>
      <sheetName val="Таб 2.2"/>
      <sheetName val="Таб 3.1"/>
      <sheetName val="Таб 3.2"/>
      <sheetName val="et_union"/>
      <sheetName val="modHyp"/>
      <sheetName val="AllSheetsInThisWorkbook"/>
      <sheetName val="REESTR_ORG"/>
      <sheetName val="REESTR_FILTERED"/>
      <sheetName val="REESTR_MO"/>
      <sheetName val="modfrmReestr"/>
      <sheetName val="modCommandButton"/>
      <sheetName val="modReestr"/>
      <sheetName val="modProv"/>
      <sheetName val="Н-Колыма тепло"/>
      <sheetName val="УФ1 тепло"/>
      <sheetName val="5 (тх) ГУП"/>
      <sheetName val="5 (тх) РЭК"/>
      <sheetName val="Закл. ВС"/>
      <sheetName val="Индекс"/>
      <sheetName val="Экономист"/>
      <sheetName val="Формы исходных данных"/>
      <sheetName val="WI"/>
    </sheetNames>
    <definedNames>
      <definedName name="Предприятия_ЖКХ"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ow r="15">
          <cell r="H15">
            <v>14055.593407445716</v>
          </cell>
        </row>
      </sheetData>
      <sheetData sheetId="133">
        <row r="11">
          <cell r="CF11">
            <v>7.9997878234184254</v>
          </cell>
        </row>
      </sheetData>
      <sheetData sheetId="134">
        <row r="15">
          <cell r="H15">
            <v>14055.593407445716</v>
          </cell>
        </row>
      </sheetData>
      <sheetData sheetId="135">
        <row r="26">
          <cell r="T26">
            <v>59.3827</v>
          </cell>
        </row>
      </sheetData>
      <sheetData sheetId="136" refreshError="1"/>
      <sheetData sheetId="137"/>
      <sheetData sheetId="138"/>
      <sheetData sheetId="139">
        <row r="15">
          <cell r="T15">
            <v>1738.5411305479561</v>
          </cell>
        </row>
      </sheetData>
      <sheetData sheetId="140"/>
      <sheetData sheetId="141">
        <row r="15">
          <cell r="H15">
            <v>14055.593407445716</v>
          </cell>
        </row>
      </sheetData>
      <sheetData sheetId="142"/>
      <sheetData sheetId="143"/>
      <sheetData sheetId="144"/>
      <sheetData sheetId="145" refreshError="1"/>
      <sheetData sheetId="146" refreshError="1"/>
      <sheetData sheetId="147" refreshError="1"/>
      <sheetData sheetId="148" refreshError="1"/>
      <sheetData sheetId="149"/>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ow r="15">
          <cell r="T15">
            <v>1738.5411305479561</v>
          </cell>
        </row>
      </sheetData>
      <sheetData sheetId="208"/>
      <sheetData sheetId="209"/>
      <sheetData sheetId="210"/>
      <sheetData sheetId="211"/>
      <sheetData sheetId="212"/>
      <sheetData sheetId="213"/>
      <sheetData sheetId="214"/>
      <sheetData sheetId="215"/>
      <sheetData sheetId="216" refreshError="1"/>
      <sheetData sheetId="217" refreshError="1"/>
      <sheetData sheetId="218"/>
      <sheetData sheetId="219" refreshError="1"/>
      <sheetData sheetId="220"/>
      <sheetData sheetId="221" refreshError="1"/>
      <sheetData sheetId="222"/>
      <sheetData sheetId="223" refreshError="1"/>
      <sheetData sheetId="224"/>
      <sheetData sheetId="225" refreshError="1"/>
      <sheetData sheetId="226"/>
      <sheetData sheetId="227" refreshError="1"/>
      <sheetData sheetId="228"/>
      <sheetData sheetId="229" refreshError="1"/>
      <sheetData sheetId="230"/>
      <sheetData sheetId="231" refreshError="1"/>
      <sheetData sheetId="232"/>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refreshError="1"/>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5537733"/>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Реестр общ "/>
      <sheetName val="тэ (бюдж)"/>
      <sheetName val="саночистка"/>
      <sheetName val="расчет q по интерполяции"/>
      <sheetName val="Прилож.кф.1-тх"/>
      <sheetName val="Вспомогат(по месяцам)"/>
      <sheetName val="отопление"/>
      <sheetName val="Титульный лист"/>
      <sheetName val="Общий свод (2)"/>
      <sheetName val="REESTR"/>
      <sheetName val="ОХЗ КТС"/>
      <sheetName val="Реестр_общ_"/>
      <sheetName val="тэ_(бюдж)"/>
      <sheetName val="расчет_q_по_интерполяции"/>
      <sheetName val="Прилож_кф_1-тх"/>
      <sheetName val="Вспомогат(по_месяцам)"/>
      <sheetName val="Титульный_лист"/>
      <sheetName val="Общий_свод_(2)"/>
      <sheetName val="слесаря"/>
      <sheetName val="1"/>
    </sheetNames>
    <definedNames>
      <definedName name="Виды_ППТН" refersTo="#ССЫЛКА!"/>
      <definedName name="Виды_транспорта" refersTo="#ССЫЛКА!"/>
      <definedName name="Виды_ТЭР" refersTo="#ССЫЛКА!"/>
      <definedName name="Улицы" refersTo="#ССЫЛКА!"/>
      <definedName name="Улусы" refersTo="#ССЫЛКА!"/>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НУРТ"/>
      <sheetName val="REESTR"/>
      <sheetName val="вн.потреб"/>
      <sheetName val="Кобяйс."/>
      <sheetName val="ККан"/>
      <sheetName val="кан жф"/>
      <sheetName val="пр 1 новое (2)"/>
      <sheetName val="Вспомогат(по месяцам)"/>
      <sheetName val="продВ(I)"/>
      <sheetName val="Н-Кол"/>
    </sheetNames>
    <definedNames>
      <definedName name="Виды_ГСМ" refersTo="#ССЫЛКА!"/>
      <definedName name="Виды_МБП" refersTo="#ССЫЛКА!"/>
      <definedName name="Виды_ППТН" refersTo="#ССЫЛКА!"/>
      <definedName name="Виды_работ" refersTo="#ССЫЛКА!"/>
      <definedName name="Виды_транспорта" refersTo="#ССЫЛКА!"/>
      <definedName name="Виды_ТЭР" refersTo="#ССЫЛКА!"/>
      <definedName name="Виды_услуг" refersTo="#ССЫЛКА!"/>
      <definedName name="Виды_целевого_обслуживания" refersTo="#ССЫЛКА!"/>
      <definedName name="Классы_отапливаемых_объектов" refersTo="#ССЫЛКА!"/>
      <definedName name="Котельные" refersTo="#ССЫЛКА!"/>
      <definedName name="Марки_автотранспорта" refersTo="#ССЫЛКА!"/>
      <definedName name="Предприятия_ЖКХ" refersTo="#ССЫЛКА!"/>
      <definedName name="ТМЦ" refersTo="#ССЫЛКА!"/>
      <definedName name="Улусы" refersTo="#ССЫЛКА!"/>
      <definedName name="Юридические_лица" refersTo="#ССЫЛКА!"/>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НУРТ"/>
      <sheetName val="REESTR"/>
      <sheetName val="вн.потреб"/>
      <sheetName val="Кобяйс."/>
      <sheetName val="ККан"/>
      <sheetName val="кан жф"/>
      <sheetName val="пр 1 новое (2)"/>
      <sheetName val="Вспомогат(по месяцам)"/>
      <sheetName val="продВ(I)"/>
      <sheetName val="Н-Кол"/>
    </sheetNames>
    <definedNames>
      <definedName name="Виды_ГСМ" refersTo="#ССЫЛКА!"/>
      <definedName name="Виды_МБП" refersTo="#ССЫЛКА!"/>
      <definedName name="Виды_ППТН" refersTo="#ССЫЛКА!"/>
      <definedName name="Виды_работ" refersTo="#ССЫЛКА!"/>
      <definedName name="Виды_транспорта" refersTo="#ССЫЛКА!"/>
      <definedName name="Виды_ТЭР" refersTo="#ССЫЛКА!"/>
      <definedName name="Виды_услуг" refersTo="#ССЫЛКА!"/>
      <definedName name="Виды_целевого_обслуживания" refersTo="#ССЫЛКА!"/>
      <definedName name="Классы_отапливаемых_объектов" refersTo="#ССЫЛКА!"/>
      <definedName name="Котельные" refersTo="#ССЫЛКА!"/>
      <definedName name="Марки_автотранспорта" refersTo="#ССЫЛКА!"/>
      <definedName name="Предприятия_ЖКХ" refersTo="#ССЫЛКА!"/>
      <definedName name="ТМЦ" refersTo="#ССЫЛКА!"/>
      <definedName name="Улусы" refersTo="#ССЫЛКА!"/>
      <definedName name="Юридические_лица" refersTo="#ССЫЛКА!"/>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НУРТ"/>
      <sheetName val="REESTR"/>
      <sheetName val="вн.потреб"/>
      <sheetName val="Кобяйс."/>
      <sheetName val="ККан"/>
      <sheetName val="кан жф"/>
      <sheetName val="пр 1 новое (2)"/>
      <sheetName val="Вспомогат(по месяцам)"/>
      <sheetName val="продВ(I)"/>
      <sheetName val="Н-Кол"/>
    </sheetNames>
    <definedNames>
      <definedName name="Виды_ГСМ" refersTo="#ССЫЛКА!"/>
      <definedName name="Виды_МБП" refersTo="#ССЫЛКА!"/>
      <definedName name="Виды_ППТН" refersTo="#ССЫЛКА!"/>
      <definedName name="Виды_работ" refersTo="#ССЫЛКА!"/>
      <definedName name="Виды_транспорта" refersTo="#ССЫЛКА!"/>
      <definedName name="Виды_ТЭР" refersTo="#ССЫЛКА!"/>
      <definedName name="Виды_услуг" refersTo="#ССЫЛКА!"/>
      <definedName name="Виды_целевого_обслуживания" refersTo="#ССЫЛКА!"/>
      <definedName name="Классы_отапливаемых_объектов" refersTo="#ССЫЛКА!"/>
      <definedName name="Котельные" refersTo="#ССЫЛКА!"/>
      <definedName name="Марки_автотранспорта" refersTo="#ССЫЛКА!"/>
      <definedName name="Предприятия_ЖКХ" refersTo="#ССЫЛКА!"/>
      <definedName name="ТМЦ" refersTo="#ССЫЛКА!"/>
      <definedName name="Улусы" refersTo="#ССЫЛКА!"/>
      <definedName name="Юридические_лица" refersTo="#ССЫЛКА!"/>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Финансово-экономическое у"/>
    </sheetNames>
    <definedNames>
      <definedName name="Единицы_измерения" refersTo="#ССЫЛКА!"/>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Формы исходных данных"/>
    </sheetNames>
    <definedNames>
      <definedName name="Виды_ГСМ" refersTo="#ССЫЛКА!"/>
    </defined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дВ(I)"/>
      <sheetName val="Продтов(нормы)"/>
      <sheetName val="продВ(II)"/>
      <sheetName val="продБ(I)"/>
      <sheetName val="продБ(II)"/>
      <sheetName val="минздрав прод(I)"/>
      <sheetName val="минздрав прод(II)"/>
      <sheetName val="минобраз(I)"/>
      <sheetName val="минобраз(II)"/>
      <sheetName val="Непродтов(нормы)"/>
      <sheetName val="НепродВ(I)"/>
      <sheetName val="НепродВ (II)"/>
      <sheetName val="непродБ(I)"/>
      <sheetName val="непродБ(II)"/>
      <sheetName val="МЗ непрод(I)"/>
      <sheetName val="МЗ непрод(II)"/>
      <sheetName val="МОнепрод(I)"/>
      <sheetName val="МОнепрод(II)"/>
      <sheetName val="непрдПР(I)"/>
      <sheetName val="непрдПР(II)"/>
      <sheetName val="непродЖКХ(I)"/>
      <sheetName val="непродЖКХ(II)"/>
      <sheetName val="мест"/>
      <sheetName val="минсоцзащ"/>
      <sheetName val="ДНиСО"/>
      <sheetName val="МСнепрд"/>
      <sheetName val="реестр"/>
      <sheetName val="Лист1"/>
      <sheetName val="анализ"/>
      <sheetName val="2008"/>
      <sheetName val="2009"/>
      <sheetName val="абый"/>
      <sheetName val="аллаиха"/>
      <sheetName val="анаб"/>
      <sheetName val="амга"/>
      <sheetName val="бул"/>
      <sheetName val="ввил"/>
      <sheetName val="вкол"/>
      <sheetName val="верх"/>
      <sheetName val="вил"/>
      <sheetName val="горн"/>
      <sheetName val="жиг"/>
      <sheetName val="санг"/>
      <sheetName val="зар"/>
      <sheetName val="мканг"/>
      <sheetName val="мома"/>
      <sheetName val="нам"/>
      <sheetName val="нкол"/>
      <sheetName val="нюрба"/>
      <sheetName val="олекма"/>
      <sheetName val="оленек"/>
      <sheetName val="маган"/>
      <sheetName val="скол"/>
      <sheetName val="сунтар"/>
      <sheetName val="татта"/>
      <sheetName val="уалд"/>
      <sheetName val="ханг"/>
      <sheetName val="чур"/>
      <sheetName val="эбыт"/>
      <sheetName val="ОХЗ КТС"/>
      <sheetName val="0"/>
      <sheetName val="End-1"/>
      <sheetName val="Вспомогат(по месяцам)"/>
    </sheetNames>
    <sheetDataSet>
      <sheetData sheetId="0" refreshError="1">
        <row r="10">
          <cell r="C10">
            <v>5307</v>
          </cell>
        </row>
        <row r="13">
          <cell r="C13">
            <v>1799</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списки"/>
      <sheetName val="продВ(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продВ(I)"/>
      <sheetName val="REESTR"/>
      <sheetName val="списки"/>
      <sheetName val="Вспомогат(по месяцам)"/>
      <sheetName val="ленск"/>
      <sheetName val="слесаря"/>
      <sheetName val="АУП"/>
      <sheetName val="У-Алд_наслегаХранение"/>
    </sheetNames>
    <definedNames>
      <definedName name="Виды_транспорта" refersTo="#ССЫЛКА!"/>
      <definedName name="Виды_услуг" refersTo="#ССЫЛКА!"/>
      <definedName name="Классы_отапливаемых_объектов" refersTo="#ССЫЛКА!"/>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НУРТ"/>
      <sheetName val="Вспомогат(по месяцам)"/>
      <sheetName val="ленск"/>
      <sheetName val="ОХЗ КТС"/>
      <sheetName val="REESTR"/>
      <sheetName val="вн.потреб"/>
      <sheetName val="Н-Кол"/>
    </sheetNames>
    <definedNames>
      <definedName name="Улусы"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FEK 2002.Н"/>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Приложение 2.1"/>
      <sheetName val="Константы"/>
      <sheetName val="инвестиции 2007"/>
      <sheetName val="УЗ-22(2002)"/>
      <sheetName val="УЗ-21(1кв.) (2)"/>
      <sheetName val="УЗ-21(2002)"/>
      <sheetName val="УЗ-22(3кв.) (2)"/>
      <sheetName val="Калькуляция кв"/>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Справочники"/>
    </sheetNames>
    <definedNames>
      <definedName name="Единицы_измерения" refersTo="#ССЫЛКА!"/>
    </defined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Лист13"/>
      <sheetName val="Книга1"/>
      <sheetName val="ОХЗ КТС"/>
      <sheetName val="АУП"/>
      <sheetName val="Справочники"/>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Общий свод (2)"/>
      <sheetName val="Титульный лист"/>
      <sheetName val="Вспомогат(по месяцам)"/>
      <sheetName val="Общий_свод_(2)"/>
      <sheetName val="Титульный_лист"/>
      <sheetName val="Вспомогат(по_месяцам)"/>
      <sheetName val="Приложение 2.1"/>
      <sheetName val="Лист13"/>
    </sheetNames>
    <definedNames>
      <definedName name="Предприятия_ЖКХ"/>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5 Прогноз эфф."/>
      <sheetName val="Приложение 2.1"/>
      <sheetName val="Прогноз эффективности"/>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Реестр общ "/>
      <sheetName val="тэ (бюдж)"/>
      <sheetName val="саночистка"/>
      <sheetName val="расчет q по интерполяции"/>
      <sheetName val="Справочники"/>
      <sheetName val="%"/>
      <sheetName val="харак-ка 2009"/>
      <sheetName val="Отопление"/>
      <sheetName val="ГВС"/>
      <sheetName val="Абый"/>
      <sheetName val="Э.Бытантай"/>
      <sheetName val="Нюрба"/>
      <sheetName val="с ЖФ"/>
      <sheetName val="без ЖФ"/>
      <sheetName val="5(тх)г-к"/>
      <sheetName val="5(тх)с-н"/>
      <sheetName val="5(тх)бу"/>
      <sheetName val="5(тх)ку"/>
      <sheetName val="Потери Нюрба"/>
      <sheetName val="6-тх"/>
      <sheetName val="7-тх"/>
      <sheetName val="10-тх"/>
      <sheetName val="объемы"/>
      <sheetName val="Вспомогат(по месяцам)"/>
      <sheetName val="5 тх Алдан РЭК"/>
      <sheetName val="5 тх Кутана РЭК"/>
      <sheetName val="5 тх Томмот РЭК"/>
      <sheetName val="Титульный лист"/>
      <sheetName val="Татта"/>
      <sheetName val="Верхневил"/>
      <sheetName val="13.04.09(в знач)"/>
      <sheetName val="13.04.09(со ссылками)"/>
      <sheetName val="резервное топливо 2011"/>
      <sheetName val="REESTR"/>
      <sheetName val="3тх"/>
      <sheetName val="%."/>
    </sheetNames>
    <definedNames>
      <definedName name="Улицы"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Реестр общ "/>
      <sheetName val="тэ (бюдж)"/>
      <sheetName val="саночистка"/>
      <sheetName val="расчет q по интерполяции"/>
      <sheetName val="Справочники"/>
      <sheetName val="%"/>
      <sheetName val="харак-ка 2009"/>
      <sheetName val="Отопление"/>
      <sheetName val="ГВС"/>
      <sheetName val="Абый"/>
      <sheetName val="Э.Бытантай"/>
      <sheetName val="Нюрба"/>
      <sheetName val="с ЖФ"/>
      <sheetName val="без ЖФ"/>
      <sheetName val="5(тх)г-к"/>
      <sheetName val="5(тх)с-н"/>
      <sheetName val="5(тх)бу"/>
      <sheetName val="5(тх)ку"/>
      <sheetName val="Потери Нюрба"/>
      <sheetName val="6-тх"/>
      <sheetName val="7-тх"/>
      <sheetName val="10-тх"/>
      <sheetName val="объемы"/>
      <sheetName val="Вспомогат(по месяцам)"/>
      <sheetName val="5 тх Алдан РЭК"/>
      <sheetName val="5 тх Кутана РЭК"/>
      <sheetName val="5 тх Томмот РЭК"/>
      <sheetName val="Титульный лист"/>
      <sheetName val="Татта"/>
      <sheetName val="Верхневил"/>
      <sheetName val="13.04.09(в знач)"/>
      <sheetName val="13.04.09(со ссылками)"/>
      <sheetName val="резервное топливо 2011"/>
      <sheetName val="REESTR"/>
      <sheetName val="3тх"/>
      <sheetName val="%."/>
    </sheetNames>
    <definedNames>
      <definedName name="Улицы"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Фор"/>
    </sheetNames>
    <definedNames>
      <definedName name="Предприятия_ЖКХ" refersTo="#ССЫЛКА!"/>
    </definedNames>
    <sheetDataSet>
      <sheetData sheetId="0" refreshError="1"/>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дготовк"/>
      <sheetName val="WI"/>
    </sheetNames>
    <definedNames>
      <definedName name="Предприятия_ЖКХ" refersTo="#ССЫЛКА!"/>
    </defined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Заголовок"/>
      <sheetName val="Книга1"/>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Список организаций"/>
      <sheetName val="Баланс производство"/>
      <sheetName val="Баланс передача"/>
      <sheetName val="Калькуляция"/>
      <sheetName val="Тарифное меню1"/>
      <sheetName val="Тарифное меню2"/>
      <sheetName val="Комментарии"/>
      <sheetName val="Проверка"/>
      <sheetName val="Диапазоны"/>
      <sheetName val="TEHSHEET"/>
      <sheetName val="REESTR"/>
      <sheetName val="Заголовок2"/>
      <sheetName val="Заголовок"/>
      <sheetName val="Abyiskiy BALANCE.WARM.2009YEAR"/>
      <sheetName val="1-500 км 2010 деф 25% от 25%"/>
      <sheetName val="Ф1(уголь)"/>
      <sheetName val="Ф1(нефть) "/>
      <sheetName val="Ф1(дрова)"/>
      <sheetName val="СВОД (по фил) тепло "/>
      <sheetName val="6(вс) (с ВОС)"/>
      <sheetName val="Ф5 тх Сунтар РЭК"/>
      <sheetName val="5 тх с жф"/>
      <sheetName val="5тх без жф"/>
      <sheetName val="уни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X2" t="str">
            <v>Абыйский муниципальный район</v>
          </cell>
        </row>
        <row r="3">
          <cell r="X3" t="str">
            <v>Алданский муниципальный район</v>
          </cell>
        </row>
        <row r="4">
          <cell r="X4" t="str">
            <v>Аллаиховский муниципальный район</v>
          </cell>
        </row>
        <row r="5">
          <cell r="X5" t="str">
            <v>Амгинский муниципальный район</v>
          </cell>
        </row>
        <row r="6">
          <cell r="X6" t="str">
            <v>Анабарский муниципальный район</v>
          </cell>
        </row>
        <row r="7">
          <cell r="X7" t="str">
            <v>Булунский муниципальный район</v>
          </cell>
        </row>
        <row r="8">
          <cell r="X8" t="str">
            <v>Верхневилюйский муниципальный район</v>
          </cell>
        </row>
        <row r="9">
          <cell r="X9" t="str">
            <v>Верхнеколымский муниципальный район</v>
          </cell>
        </row>
        <row r="10">
          <cell r="X10" t="str">
            <v>Верхоянский муниципальный район</v>
          </cell>
        </row>
        <row r="11">
          <cell r="X11" t="str">
            <v>Вилюйский муниципальный район</v>
          </cell>
        </row>
        <row r="12">
          <cell r="X12" t="str">
            <v>Горный муниципальный район</v>
          </cell>
        </row>
        <row r="13">
          <cell r="X13" t="str">
            <v>Город Якутск</v>
          </cell>
        </row>
        <row r="14">
          <cell r="X14" t="str">
            <v>Жатай</v>
          </cell>
        </row>
        <row r="15">
          <cell r="X15" t="str">
            <v>Жиганский муниципальный район</v>
          </cell>
        </row>
        <row r="16">
          <cell r="X16" t="str">
            <v>Кобяйский муниципальный район</v>
          </cell>
        </row>
        <row r="17">
          <cell r="X17" t="str">
            <v>Ленский муниципальный район</v>
          </cell>
        </row>
        <row r="18">
          <cell r="X18" t="str">
            <v>Мегино-Кангаласский муниципальный район</v>
          </cell>
        </row>
        <row r="19">
          <cell r="X19" t="str">
            <v>Мирнинский муниципальный район</v>
          </cell>
        </row>
        <row r="20">
          <cell r="X20" t="str">
            <v>Момский муниципальный район</v>
          </cell>
        </row>
        <row r="21">
          <cell r="X21" t="str">
            <v>Намский муниципальный район</v>
          </cell>
        </row>
        <row r="22">
          <cell r="X22" t="str">
            <v>Нерюнгринский муниципальный район</v>
          </cell>
        </row>
        <row r="23">
          <cell r="X23" t="str">
            <v>Нижнеколымский муниципальный район</v>
          </cell>
        </row>
        <row r="24">
          <cell r="X24" t="str">
            <v>Нюрбинский муниципальный район</v>
          </cell>
        </row>
        <row r="25">
          <cell r="X25" t="str">
            <v>Оймяконский муниципальный район</v>
          </cell>
        </row>
        <row r="26">
          <cell r="X26" t="str">
            <v>Олекминский муниципальный район</v>
          </cell>
        </row>
        <row r="27">
          <cell r="X27" t="str">
            <v>Оленекский муниципальный район</v>
          </cell>
        </row>
        <row r="28">
          <cell r="X28" t="str">
            <v>Среднеколымский муниципальный район</v>
          </cell>
        </row>
        <row r="29">
          <cell r="X29" t="str">
            <v>Сунтарский муниципальный район</v>
          </cell>
        </row>
        <row r="30">
          <cell r="X30" t="str">
            <v>Таттинский муниципальный район</v>
          </cell>
        </row>
        <row r="31">
          <cell r="X31" t="str">
            <v>Томпонский муниципальный район</v>
          </cell>
        </row>
        <row r="32">
          <cell r="X32" t="str">
            <v>Усть-Алданский муниципальный район</v>
          </cell>
        </row>
        <row r="33">
          <cell r="X33" t="str">
            <v>Усть-Майский муниципальный район</v>
          </cell>
        </row>
        <row r="34">
          <cell r="X34" t="str">
            <v>Усть-Янский муниципальный район</v>
          </cell>
        </row>
        <row r="35">
          <cell r="X35" t="str">
            <v>Хангаласский муниципальный район</v>
          </cell>
        </row>
        <row r="36">
          <cell r="X36" t="str">
            <v>Чурапчинский муниципальный район</v>
          </cell>
        </row>
        <row r="37">
          <cell r="X37" t="str">
            <v>Эвено-Бытантайский Национальный муниципальный район</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Список организаций"/>
      <sheetName val="Баланс производство"/>
      <sheetName val="Баланс передача"/>
      <sheetName val="Калькуляция"/>
      <sheetName val="Тарифное меню1"/>
      <sheetName val="Тарифное меню2"/>
      <sheetName val="Комментарии"/>
      <sheetName val="Проверка"/>
      <sheetName val="Диапазоны"/>
      <sheetName val="TEHSHEET"/>
      <sheetName val="REESTR"/>
      <sheetName val="Заголовок2"/>
      <sheetName val="Заголовок"/>
      <sheetName val="Abyiskiy BALANCE.WARM.2009YEAR"/>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
          <cell r="Y2" t="str">
            <v>98601000</v>
          </cell>
        </row>
      </sheetData>
      <sheetData sheetId="13"/>
      <sheetData sheetId="14"/>
      <sheetData sheetId="1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иды д-ти"/>
      <sheetName val="продукция"/>
      <sheetName val="штат_расписание"/>
      <sheetName val="запасы на нач"/>
      <sheetName val="реализация"/>
    </sheetNames>
    <sheetDataSet>
      <sheetData sheetId="0">
        <row r="421">
          <cell r="B421" t="str">
            <v>Молочное стадо крс</v>
          </cell>
        </row>
        <row r="422">
          <cell r="B422" t="str">
            <v>животные на выращивании и откорме</v>
          </cell>
        </row>
      </sheetData>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оплаты"/>
      <sheetName val="Расчет"/>
      <sheetName val="АУП"/>
      <sheetName val="НСС"/>
      <sheetName val="ТБ"/>
      <sheetName val="ПТО"/>
      <sheetName val="ОППР"/>
      <sheetName val="ПЭО"/>
      <sheetName val="Бух"/>
      <sheetName val="ОК"/>
      <sheetName val="ОМТС"/>
      <sheetName val="АХО"/>
      <sheetName val="ОКС"/>
      <sheetName val="ЖДЦ"/>
      <sheetName val="ТТЦ"/>
      <sheetName val="КТЦ"/>
      <sheetName val="ЦГТС"/>
      <sheetName val="ЭЦ"/>
      <sheetName val="ЦТАИ"/>
      <sheetName val="ЦНИО"/>
      <sheetName val="ХЦ"/>
      <sheetName val="ЦЦР"/>
      <sheetName val="ЛМ"/>
      <sheetName val="УЭРЗУ"/>
      <sheetName val="УГПМ"/>
      <sheetName val="РСЦ"/>
      <sheetName val="АТЦ"/>
      <sheetName val="РТС"/>
      <sheetName val="ВОХР"/>
      <sheetName val="Расчет (2)"/>
      <sheetName val="ЧГРЭС (2)"/>
      <sheetName val="Энергетик"/>
      <sheetName val="Незабудка"/>
      <sheetName val="Налды"/>
      <sheetName val="Спорт сооруж."/>
      <sheetName val="Столовая"/>
      <sheetName val="ДК Якутянка"/>
      <sheetName val="Здравпункт"/>
      <sheetName val="Отд.снаб."/>
      <sheetName val="ЦТС (н)"/>
      <sheetName val="БО"/>
      <sheetName val="Солнышко"/>
      <sheetName val="Т1."/>
      <sheetName val="Т5"/>
      <sheetName val="Т3,"/>
      <sheetName val="REESTR"/>
      <sheetName val="СОТ"/>
      <sheetName val="УГТС"/>
      <sheetName val="УТАИ"/>
      <sheetName val="ОАСУ"/>
      <sheetName val="ЧТЭЦ АУП"/>
      <sheetName val="ЧТЭЦ КТЦ"/>
      <sheetName val="ЧТЭЦ ЭЦ"/>
      <sheetName val="ЧТЭЦ ЦТС"/>
      <sheetName val="хоккей корт"/>
      <sheetName val="СОК"/>
      <sheetName val="Замещение (3)"/>
      <sheetName val="Чист.блан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эк.обос. МУ ЕИАС"/>
      <sheetName val="Т1."/>
      <sheetName val="Т.2"/>
      <sheetName val="3"/>
      <sheetName val="4 "/>
      <sheetName val="Т5"/>
      <sheetName val="5,1"/>
      <sheetName val="Т6"/>
      <sheetName val="7"/>
      <sheetName val="Т8"/>
      <sheetName val="9"/>
      <sheetName val="10"/>
      <sheetName val="11"/>
      <sheetName val="смета12 "/>
      <sheetName val="Э-12.1"/>
      <sheetName val="12.1.1."/>
      <sheetName val="12.1.2."/>
      <sheetName val="12.1.3."/>
      <sheetName val="Т-12.2."/>
      <sheetName val="12.2.1."/>
      <sheetName val="12.2.2."/>
      <sheetName val="квл13"/>
      <sheetName val="П-14"/>
      <sheetName val="П-14.Э-1 "/>
      <sheetName val="14.1.1.."/>
      <sheetName val="14.1.2."/>
      <sheetName val="14.1.3"/>
      <sheetName val="П14-Т-2"/>
      <sheetName val="14.2.1."/>
      <sheetName val="14.2.2."/>
      <sheetName val="НВВ"/>
      <sheetName val="Тариф выручка"/>
      <sheetName val="17"/>
      <sheetName val="18"/>
      <sheetName val="капрем 19"/>
      <sheetName val="Трансп20"/>
      <sheetName val="матр.21"/>
      <sheetName val="энергия22"/>
      <sheetName val="покуп"/>
      <sheetName val="ФЗП 24 "/>
      <sheetName val="Амор."/>
      <sheetName val="Вод.Н.26"/>
      <sheetName val="Аб.Пл.27"/>
      <sheetName val="ПСЕБ-28"/>
      <sheetName val="%АК 29"/>
      <sheetName val="ППР30"/>
      <sheetName val="31"/>
      <sheetName val="32"/>
      <sheetName val="33"/>
      <sheetName val="34"/>
      <sheetName val="35"/>
      <sheetName val="36"/>
      <sheetName val="сбыт 37"/>
      <sheetName val="38эк.обос."/>
      <sheetName val="38эк.обос.по МУ"/>
      <sheetName val="39 с перекрЮЮ"/>
      <sheetName val="39 с перекресткой"/>
      <sheetName val="40"/>
      <sheetName val="41"/>
      <sheetName val="42"/>
      <sheetName val="по ЧЧИ"/>
      <sheetName val="по ЧЧИ (3)"/>
      <sheetName val="перекрестка"/>
      <sheetName val="водоканал"/>
      <sheetName val="алроса"/>
      <sheetName val="по категориям"/>
      <sheetName val="свод"/>
      <sheetName val="усл.ед."/>
      <sheetName val="усл.ед. (2)"/>
      <sheetName val="П1"/>
      <sheetName val="39 с перекресткой 25.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АУП"/>
      <sheetName val="Т5"/>
      <sheetName val="Справочники"/>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REESTR"/>
      <sheetName val="АУП"/>
      <sheetName val="Т5"/>
      <sheetName val="Титульный лист"/>
      <sheetName val="Приложение 2.1"/>
      <sheetName val="ОХЗ КТС"/>
      <sheetName val="Т1."/>
    </sheetNames>
    <definedNames>
      <definedName name="Улицы" refersTo="#ССЫЛКА!"/>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Пояснения"/>
      <sheetName val="Справочники"/>
      <sheetName val="8(тх)"/>
      <sheetName val="6(тх)"/>
      <sheetName val="1(тх)"/>
      <sheetName val="9(тх)"/>
      <sheetName val="7(тх)"/>
      <sheetName val="АУП"/>
      <sheetName val="%"/>
      <sheetName val="характ СНГС"/>
    </sheetNames>
    <definedNames>
      <definedName name="Улицы" refersTo="#ССЫЛКА!"/>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Алдан"/>
      <sheetName val="Вилюйский"/>
      <sheetName val="Хангаласский"/>
      <sheetName val="Верхневилюйск"/>
      <sheetName val="0"/>
      <sheetName val="ОХЗ КТС"/>
      <sheetName val="чего нехватает по схемам"/>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ст обоснования"/>
      <sheetName val="ОХЗ ГУП"/>
      <sheetName val="ОХЗ КТС"/>
      <sheetName val="ГУП"/>
      <sheetName val="Абый"/>
      <sheetName val="Алдан"/>
      <sheetName val="Аллайх"/>
      <sheetName val="Амга"/>
      <sheetName val="Анаб"/>
      <sheetName val="Булун"/>
      <sheetName val="В-Вил"/>
      <sheetName val="В-Кол"/>
      <sheetName val="В-Янск"/>
      <sheetName val="Вилюй"/>
      <sheetName val="Кыз-Сыр"/>
      <sheetName val="Горный"/>
      <sheetName val="жиган"/>
      <sheetName val="Кобяй"/>
      <sheetName val="Зареч"/>
      <sheetName val="Мег-Кан"/>
      <sheetName val="Мома"/>
      <sheetName val="Намцы"/>
      <sheetName val="Н-Кол"/>
      <sheetName val="Нюрба"/>
      <sheetName val="Оймякон"/>
      <sheetName val="Олекм"/>
      <sheetName val="Оленек"/>
      <sheetName val="С-Кол"/>
      <sheetName val="Сунтары"/>
      <sheetName val="Татта"/>
      <sheetName val="Томпон"/>
      <sheetName val="Джеб-Х"/>
      <sheetName val="Усть-Ал"/>
      <sheetName val="Усть-М"/>
      <sheetName val="Усть-Я"/>
      <sheetName val="Хангал"/>
      <sheetName val="Чурап"/>
      <sheetName val="Эвено-Б"/>
      <sheetName val="Коммунтепл"/>
      <sheetName val="Коммунк"/>
      <sheetName val="Маган"/>
      <sheetName val="АУП"/>
      <sheetName val="ОХЗ филиалов"/>
      <sheetName val="0"/>
      <sheetName val="Отнесение общехоз"/>
      <sheetName val="REESTR"/>
    </sheetNames>
    <sheetDataSet>
      <sheetData sheetId="0" refreshError="1"/>
      <sheetData sheetId="1" refreshError="1"/>
      <sheetData sheetId="2" refreshError="1">
        <row r="42">
          <cell r="D42">
            <v>1468555.7699999998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Справочники"/>
      <sheetName val="Дан"/>
      <sheetName val="ОХЗ КТС"/>
      <sheetName val="0"/>
      <sheetName val="ОХЗ_КТС"/>
    </sheetNames>
    <definedNames>
      <definedName name="Единицы_измерения" refersTo="#ССЫЛКА!"/>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Защит"/>
      <sheetName val="ОХЗ КТС"/>
      <sheetName val="0"/>
      <sheetName val="REESTR"/>
    </sheetNames>
    <definedNames>
      <definedName name="Единицы_измерения" refersTo="#ССЫЛКА!"/>
    </definedNames>
    <sheetDataSet>
      <sheetData sheetId="0" refreshError="1"/>
      <sheetData sheetId="1" refreshError="1"/>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ош 17"/>
      <sheetName val="Лош 18"/>
      <sheetName val="Лош.19"/>
      <sheetName val="Лош.20"/>
      <sheetName val="Лош21"/>
      <sheetName val="Лош.22"/>
      <sheetName val="ф9 лош"/>
      <sheetName val="ф12-1Лош"/>
      <sheetName val="Лист2"/>
      <sheetName val="КРМД-18"/>
      <sheetName val="КРМД-19"/>
      <sheetName val="КРМД-20"/>
      <sheetName val="КРМД-21"/>
      <sheetName val="КРМД-22"/>
      <sheetName val="Форма-9КРС"/>
      <sheetName val="Форма-12-1КРС"/>
      <sheetName val="себест. раст."/>
      <sheetName val="сено"/>
      <sheetName val="техкарта сено"/>
      <sheetName val="аморт"/>
      <sheetName val="сенаж бп"/>
      <sheetName val="сенаж бп-себ"/>
      <sheetName val="силос бп"/>
      <sheetName val="силос бп-себ"/>
      <sheetName val="корма"/>
      <sheetName val="баланс прод."/>
      <sheetName val="расчет ВП 11."/>
      <sheetName val="фин."/>
      <sheetName val="затраты 8."/>
      <sheetName val="С-сть жив-ва"/>
      <sheetName val="Услов гол"/>
      <sheetName val="Лист1"/>
      <sheetName val="реализация 9,"/>
      <sheetName val="Тарифные разр"/>
      <sheetName val="Стоимость ГСМ ээ"/>
      <sheetName val="ФОТ"/>
      <sheetName val="Вспомогат.пр-во"/>
      <sheetName val="ПФС"/>
      <sheetName val="Кредит"/>
      <sheetName val="Лист4"/>
    </sheetNames>
    <sheetDataSet>
      <sheetData sheetId="0"/>
      <sheetData sheetId="1"/>
      <sheetData sheetId="2"/>
      <sheetData sheetId="3"/>
      <sheetData sheetId="4"/>
      <sheetData sheetId="5"/>
      <sheetData sheetId="6">
        <row r="11">
          <cell r="AA11">
            <v>0</v>
          </cell>
        </row>
      </sheetData>
      <sheetData sheetId="7"/>
      <sheetData sheetId="8"/>
      <sheetData sheetId="9">
        <row r="6">
          <cell r="R6">
            <v>0</v>
          </cell>
        </row>
      </sheetData>
      <sheetData sheetId="10">
        <row r="6">
          <cell r="R6">
            <v>0</v>
          </cell>
        </row>
      </sheetData>
      <sheetData sheetId="11">
        <row r="6">
          <cell r="C6">
            <v>0</v>
          </cell>
        </row>
        <row r="20">
          <cell r="C20">
            <v>0</v>
          </cell>
        </row>
        <row r="34">
          <cell r="C34">
            <v>0</v>
          </cell>
        </row>
        <row r="48">
          <cell r="C48">
            <v>0</v>
          </cell>
        </row>
        <row r="62">
          <cell r="C62">
            <v>0</v>
          </cell>
        </row>
        <row r="76">
          <cell r="C76">
            <v>0</v>
          </cell>
        </row>
        <row r="90">
          <cell r="C90">
            <v>0</v>
          </cell>
        </row>
        <row r="104">
          <cell r="C104">
            <v>0</v>
          </cell>
        </row>
        <row r="118">
          <cell r="C118">
            <v>0</v>
          </cell>
        </row>
        <row r="132">
          <cell r="C132">
            <v>0</v>
          </cell>
        </row>
        <row r="146">
          <cell r="C146">
            <v>0</v>
          </cell>
        </row>
        <row r="160">
          <cell r="C160">
            <v>0</v>
          </cell>
        </row>
        <row r="174">
          <cell r="C174">
            <v>0</v>
          </cell>
        </row>
      </sheetData>
      <sheetData sheetId="12"/>
      <sheetData sheetId="13"/>
      <sheetData sheetId="14"/>
      <sheetData sheetId="15"/>
      <sheetData sheetId="16">
        <row r="7">
          <cell r="T7">
            <v>4.9537518691196238</v>
          </cell>
        </row>
      </sheetData>
      <sheetData sheetId="17"/>
      <sheetData sheetId="18"/>
      <sheetData sheetId="19">
        <row r="11">
          <cell r="F11">
            <v>101.5</v>
          </cell>
        </row>
      </sheetData>
      <sheetData sheetId="20"/>
      <sheetData sheetId="21"/>
      <sheetData sheetId="22"/>
      <sheetData sheetId="23"/>
      <sheetData sheetId="24"/>
      <sheetData sheetId="25"/>
      <sheetData sheetId="26"/>
      <sheetData sheetId="27"/>
      <sheetData sheetId="28"/>
      <sheetData sheetId="29">
        <row r="14">
          <cell r="Z14">
            <v>28.934537759481234</v>
          </cell>
        </row>
      </sheetData>
      <sheetData sheetId="30"/>
      <sheetData sheetId="31"/>
      <sheetData sheetId="32"/>
      <sheetData sheetId="33">
        <row r="4">
          <cell r="C4">
            <v>1</v>
          </cell>
        </row>
      </sheetData>
      <sheetData sheetId="34">
        <row r="10">
          <cell r="C10">
            <v>0.84</v>
          </cell>
        </row>
      </sheetData>
      <sheetData sheetId="35"/>
      <sheetData sheetId="36"/>
      <sheetData sheetId="37">
        <row r="28">
          <cell r="E28">
            <v>2290.301369863013</v>
          </cell>
        </row>
      </sheetData>
      <sheetData sheetId="38"/>
      <sheetData sheetId="3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чало"/>
      <sheetName val="1.План"/>
      <sheetName val="2.ДПЖ"/>
      <sheetName val="ППП"/>
      <sheetName val="3.КОРМА"/>
      <sheetName val="Табл.1-2"/>
      <sheetName val="4.защ КРС"/>
      <sheetName val="ПрСбытПрП"/>
      <sheetName val="21.ТРП"/>
      <sheetName val="22.ППР"/>
      <sheetName val="ТРП (2)"/>
      <sheetName val="5.ФОТ"/>
      <sheetName val="23.Налоги"/>
      <sheetName val="24.Финрез"/>
      <sheetName val="фИН РЕЗ"/>
      <sheetName val="БАЛАНС ДС"/>
      <sheetName val="27.Безуб"/>
      <sheetName val="Риски"/>
      <sheetName val="26-27.ЭФФПР"/>
      <sheetName val="Эффект"/>
      <sheetName val="6.Кредит"/>
      <sheetName val="КРМД-20"/>
      <sheetName val="КРМД-21"/>
      <sheetName val="КРМД-22"/>
      <sheetName val="КРМД-23"/>
      <sheetName val="КРМД-24"/>
      <sheetName val="КРМД"/>
      <sheetName val="КРМД-25"/>
      <sheetName val="КРМД-26"/>
      <sheetName val="Затраты"/>
      <sheetName val="Лист4"/>
      <sheetName val="Лист5"/>
      <sheetName val="Лист6"/>
      <sheetName val="Лист7"/>
      <sheetName val="Лист8"/>
      <sheetName val="Лист1"/>
      <sheetName val="Лист2"/>
    </sheetNames>
    <sheetDataSet>
      <sheetData sheetId="0" refreshError="1"/>
      <sheetData sheetId="1">
        <row r="14">
          <cell r="D14">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ow r="15">
          <cell r="H15">
            <v>0</v>
          </cell>
        </row>
        <row r="27">
          <cell r="H27">
            <v>0</v>
          </cell>
        </row>
        <row r="39">
          <cell r="H39">
            <v>0</v>
          </cell>
        </row>
        <row r="51">
          <cell r="H51">
            <v>0</v>
          </cell>
        </row>
        <row r="63">
          <cell r="H63">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Downloads/&#1055;&#1056;&#1048;&#1051;&#1054;&#1046;&#1045;&#1053;&#1048;&#1045;%20&#1050;%20&#1041;&#1048;&#1047;&#1053;&#1045;&#1057;-&#1055;&#1051;&#1040;&#1053;&#1059;.xlsx"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9"/>
  <sheetViews>
    <sheetView view="pageBreakPreview" zoomScale="110" zoomScaleNormal="100" zoomScaleSheetLayoutView="110" workbookViewId="0">
      <selection activeCell="B19" sqref="B19:C19"/>
    </sheetView>
  </sheetViews>
  <sheetFormatPr defaultRowHeight="15.75"/>
  <cols>
    <col min="1" max="1" width="9.140625" style="1"/>
    <col min="2" max="2" width="45" style="2" customWidth="1"/>
    <col min="3" max="3" width="45" style="1" customWidth="1"/>
    <col min="4" max="9" width="9.140625" style="1"/>
  </cols>
  <sheetData>
    <row r="2" spans="2:3" ht="18.75">
      <c r="B2" s="1924"/>
      <c r="C2" s="1924"/>
    </row>
    <row r="3" spans="2:3" ht="19.5" thickBot="1">
      <c r="B3" s="1925" t="s">
        <v>473</v>
      </c>
      <c r="C3" s="1925"/>
    </row>
    <row r="4" spans="2:3" ht="19.5" thickTop="1">
      <c r="B4" s="1928" t="s">
        <v>560</v>
      </c>
      <c r="C4" s="1929"/>
    </row>
    <row r="5" spans="2:3" ht="18.75">
      <c r="B5" s="1926" t="s">
        <v>561</v>
      </c>
      <c r="C5" s="1927"/>
    </row>
    <row r="6" spans="2:3" ht="18.75">
      <c r="B6" s="1912" t="s">
        <v>562</v>
      </c>
      <c r="C6" s="1913"/>
    </row>
    <row r="7" spans="2:3" ht="18.75">
      <c r="B7" s="1912" t="s">
        <v>563</v>
      </c>
      <c r="C7" s="1913"/>
    </row>
    <row r="8" spans="2:3" ht="18.75">
      <c r="B8" s="1912" t="s">
        <v>559</v>
      </c>
      <c r="C8" s="1913"/>
    </row>
    <row r="9" spans="2:3" ht="18.75">
      <c r="B9" s="1912" t="s">
        <v>564</v>
      </c>
      <c r="C9" s="1913"/>
    </row>
    <row r="10" spans="2:3" ht="18.75">
      <c r="B10" s="1912" t="s">
        <v>565</v>
      </c>
      <c r="C10" s="1913"/>
    </row>
    <row r="11" spans="2:3" ht="18.75">
      <c r="B11" s="1912" t="s">
        <v>566</v>
      </c>
      <c r="C11" s="1913"/>
    </row>
    <row r="12" spans="2:3" ht="18.75">
      <c r="B12" s="1912" t="s">
        <v>567</v>
      </c>
      <c r="C12" s="1913"/>
    </row>
    <row r="13" spans="2:3" ht="18.75">
      <c r="B13" s="1912" t="s">
        <v>568</v>
      </c>
      <c r="C13" s="1913"/>
    </row>
    <row r="14" spans="2:3" ht="18.75">
      <c r="B14" s="1912" t="s">
        <v>569</v>
      </c>
      <c r="C14" s="1913"/>
    </row>
    <row r="15" spans="2:3" ht="18.75">
      <c r="B15" s="1912" t="s">
        <v>570</v>
      </c>
      <c r="C15" s="1913"/>
    </row>
    <row r="16" spans="2:3" ht="18.75">
      <c r="B16" s="1912" t="s">
        <v>571</v>
      </c>
      <c r="C16" s="1913"/>
    </row>
    <row r="17" spans="1:9" ht="18.75">
      <c r="B17" s="1912" t="s">
        <v>572</v>
      </c>
      <c r="C17" s="1913"/>
    </row>
    <row r="18" spans="1:9" ht="18.75">
      <c r="B18" s="1912" t="s">
        <v>573</v>
      </c>
      <c r="C18" s="1913"/>
    </row>
    <row r="19" spans="1:9" ht="19.5" thickBot="1">
      <c r="B19" s="1920" t="s">
        <v>574</v>
      </c>
      <c r="C19" s="1921"/>
    </row>
    <row r="20" spans="1:9" ht="19.5" hidden="1" thickBot="1">
      <c r="B20" s="1922" t="s">
        <v>472</v>
      </c>
      <c r="C20" s="1923"/>
    </row>
    <row r="21" spans="1:9" ht="16.5" thickTop="1">
      <c r="B21" s="43"/>
    </row>
    <row r="22" spans="1:9">
      <c r="B22" s="1916" t="s">
        <v>147</v>
      </c>
      <c r="C22" s="1917"/>
    </row>
    <row r="23" spans="1:9" s="5" customFormat="1" ht="18" customHeight="1">
      <c r="A23" s="4"/>
      <c r="B23" s="1918" t="s">
        <v>54</v>
      </c>
      <c r="C23" s="1919"/>
      <c r="D23" s="4"/>
      <c r="E23" s="4"/>
      <c r="F23" s="4"/>
      <c r="G23" s="4"/>
      <c r="H23" s="4"/>
      <c r="I23" s="4"/>
    </row>
    <row r="24" spans="1:9">
      <c r="B24" s="66" t="s">
        <v>152</v>
      </c>
      <c r="C24" s="67">
        <v>2018</v>
      </c>
    </row>
    <row r="25" spans="1:9" s="5" customFormat="1" ht="36.75" customHeight="1">
      <c r="A25" s="4"/>
      <c r="B25" s="1914" t="s">
        <v>148</v>
      </c>
      <c r="C25" s="1915"/>
      <c r="D25" s="4"/>
      <c r="E25" s="4"/>
      <c r="F25" s="4"/>
      <c r="G25" s="4"/>
      <c r="H25" s="4"/>
      <c r="I25" s="4"/>
    </row>
    <row r="26" spans="1:9" s="5" customFormat="1" ht="50.25" customHeight="1">
      <c r="A26" s="4"/>
      <c r="B26" s="1914" t="s">
        <v>180</v>
      </c>
      <c r="C26" s="1915"/>
      <c r="D26" s="4"/>
      <c r="E26" s="4"/>
      <c r="F26" s="4"/>
      <c r="G26" s="4"/>
      <c r="H26" s="4"/>
      <c r="I26" s="4"/>
    </row>
    <row r="27" spans="1:9" s="5" customFormat="1" ht="49.5" customHeight="1">
      <c r="A27" s="4"/>
      <c r="B27" s="1914" t="s">
        <v>158</v>
      </c>
      <c r="C27" s="1915"/>
      <c r="D27" s="4"/>
      <c r="E27" s="4"/>
      <c r="F27" s="4"/>
      <c r="G27" s="4"/>
      <c r="H27" s="4"/>
      <c r="I27" s="4"/>
    </row>
    <row r="28" spans="1:9" s="5" customFormat="1" ht="51.75" customHeight="1">
      <c r="A28" s="4"/>
      <c r="B28" s="1914" t="s">
        <v>176</v>
      </c>
      <c r="C28" s="1915"/>
      <c r="D28" s="4"/>
      <c r="E28" s="4"/>
      <c r="F28" s="4"/>
      <c r="G28" s="4"/>
      <c r="H28" s="4"/>
      <c r="I28" s="4"/>
    </row>
    <row r="29" spans="1:9" s="5" customFormat="1" ht="35.25" customHeight="1">
      <c r="A29" s="4"/>
      <c r="B29" s="1914" t="s">
        <v>153</v>
      </c>
      <c r="C29" s="1915"/>
      <c r="D29" s="4"/>
      <c r="E29" s="4"/>
      <c r="F29" s="4"/>
      <c r="G29" s="4"/>
      <c r="H29" s="4"/>
      <c r="I29" s="4"/>
    </row>
  </sheetData>
  <mergeCells count="26">
    <mergeCell ref="B8:C8"/>
    <mergeCell ref="B17:C17"/>
    <mergeCell ref="B16:C16"/>
    <mergeCell ref="B15:C15"/>
    <mergeCell ref="B2:C2"/>
    <mergeCell ref="B3:C3"/>
    <mergeCell ref="B9:C9"/>
    <mergeCell ref="B5:C5"/>
    <mergeCell ref="B4:C4"/>
    <mergeCell ref="B14:C14"/>
    <mergeCell ref="B13:C13"/>
    <mergeCell ref="B12:C12"/>
    <mergeCell ref="B11:C11"/>
    <mergeCell ref="B10:C10"/>
    <mergeCell ref="B6:C6"/>
    <mergeCell ref="B7:C7"/>
    <mergeCell ref="B18:C18"/>
    <mergeCell ref="B29:C29"/>
    <mergeCell ref="B22:C22"/>
    <mergeCell ref="B23:C23"/>
    <mergeCell ref="B25:C25"/>
    <mergeCell ref="B26:C26"/>
    <mergeCell ref="B27:C27"/>
    <mergeCell ref="B28:C28"/>
    <mergeCell ref="B19:C19"/>
    <mergeCell ref="B20:C20"/>
  </mergeCells>
  <phoneticPr fontId="6" type="noConversion"/>
  <hyperlinks>
    <hyperlink ref="B9" location="Табл.3!A1" display="Таблица 3. Производственно-сбытовая программа проекта"/>
    <hyperlink ref="B10" location="Табл.4!A1" display="Таблица 4. Текущие расходы проекта"/>
    <hyperlink ref="B12" location="Табл.4.2!B2" display="Таблица 4.2. Расходы на оплату труда"/>
    <hyperlink ref="B11" location="Табл.4.1!A3" display="Таблица 4.1.Потребность в производственных ресурсах"/>
    <hyperlink ref="B14" location="Табл.6!B2" display="Таблица 6. Финансовые результаты проекта"/>
    <hyperlink ref="B13" location="Табл.5!B2" display="Таблица 5. Налоги"/>
    <hyperlink ref="B15" location="Табл.7!A1" display="Таблица 7. Баланс денежных средств"/>
    <hyperlink ref="B16" location="Табл.8!A1" display="Таблица 8. Безубыточность проекта"/>
    <hyperlink ref="B18" location="'Табл.10-11'!B11" display="Таблица 11. Бюджетная эффективность проекта"/>
    <hyperlink ref="B17" location="'Табл.10-11'!B3" display="Таблица 10. Коммерческая эффективность проекта"/>
    <hyperlink ref="B6:C6" location="'3-10.ДПЖ'!A1" display="Таблица 3-10. Движение поголовья скота"/>
    <hyperlink ref="B7:C7" location="'11-18.КОРМА'!A1" display="Таблица 11-18. Потребность в кормах и их стоимость"/>
    <hyperlink ref="C20" location="Затраты!Область_печати" display="Таблица 23-25. Расчет себестоимости кормов"/>
    <hyperlink ref="B5:C5" location="'2.ППП'!A1" display="Таблица 2. Плановые производственные показатели"/>
    <hyperlink ref="B4:C4" location="'1.План'!Область_печати" display="Таблица 1. План расходования гранта"/>
    <hyperlink ref="B20:C20" location="Затраты!A1" display="Таблица 23-25. Расчет себестоимости кормов"/>
    <hyperlink ref="B8:C8" location="'19.защ КРС'!A1" display="Таблица 19. Ветеринарные и лабораторные расходы"/>
    <hyperlink ref="B9:C9" location="'20.ПрСбытПрП'!A1" display="Таблица 20. Производственно-сбытовая программа проекта"/>
    <hyperlink ref="B10:C10" location="'21.ТРП'!A1" display="Таблица 21. Текущие расходы проекта"/>
    <hyperlink ref="B11:C11" location="'22.ППР'!A1" display="Таблица 22. Потребность в производственных ресурсах"/>
    <hyperlink ref="B12:C12" location="'23.ФОТ'!A1" display="Таблица 23. Расходы на оплату труда"/>
    <hyperlink ref="B13:C13" location="'24.Налоги'!A1" display="Таблица 24. Налоги"/>
    <hyperlink ref="B14:C14" location="'25.Финрез'!A1" display="Таблица 25 Финансовые результаты проекта"/>
    <hyperlink ref="B15:C15" location="'26.БалДенСр'!A1" display="Таблица 26. Баланс денежных средств"/>
    <hyperlink ref="B16:C16" location="'27.Безуб'!A1" display="Таблица 27. Безубыточность проекта"/>
    <hyperlink ref="B17:C17" location="'28-29.ЭФФПР'!A1" display="Таблица 28. Коммерческая эффективность проекта"/>
    <hyperlink ref="B18:C18" location="'28-29.ЭФФПР'!A1" display="Таблица 29. Бюджетная эффективность проекта"/>
    <hyperlink ref="B19:C19" location="'30.ПЛАН о Фин.сост'!A1" display="Таблица 30. Движение денежных средств"/>
  </hyperlinks>
  <pageMargins left="1.1100000000000001" right="0.7" top="1" bottom="1" header="0.5" footer="0.5"/>
  <pageSetup paperSize="9" scale="93" orientation="portrait"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80" zoomScaleNormal="100" zoomScaleSheetLayoutView="80" workbookViewId="0">
      <selection activeCell="E18" sqref="E18"/>
    </sheetView>
  </sheetViews>
  <sheetFormatPr defaultColWidth="9.140625" defaultRowHeight="18.75"/>
  <cols>
    <col min="1" max="1" width="5.5703125" style="910" customWidth="1"/>
    <col min="2" max="2" width="50.28515625" style="909" customWidth="1"/>
    <col min="3" max="3" width="14.42578125" style="909" customWidth="1"/>
    <col min="4" max="4" width="17.42578125" style="909" customWidth="1"/>
    <col min="5" max="5" width="18.28515625" style="909" customWidth="1"/>
    <col min="6" max="6" width="17.42578125" style="909" customWidth="1"/>
    <col min="7" max="7" width="9.140625" style="909"/>
    <col min="8" max="8" width="31.5703125" style="909" customWidth="1"/>
    <col min="9" max="16384" width="9.140625" style="909"/>
  </cols>
  <sheetData>
    <row r="1" spans="1:8">
      <c r="F1" s="1292" t="s">
        <v>628</v>
      </c>
    </row>
    <row r="3" spans="1:8">
      <c r="A3" s="1932" t="s">
        <v>456</v>
      </c>
      <c r="B3" s="1932"/>
      <c r="C3" s="1932"/>
      <c r="D3" s="1932"/>
      <c r="E3" s="1932"/>
      <c r="F3" s="1932"/>
    </row>
    <row r="4" spans="1:8" ht="19.5" thickBot="1">
      <c r="F4" s="1292" t="s">
        <v>75</v>
      </c>
    </row>
    <row r="5" spans="1:8" ht="50.25" customHeight="1" thickTop="1">
      <c r="A5" s="1933" t="s">
        <v>381</v>
      </c>
      <c r="B5" s="1935" t="s">
        <v>448</v>
      </c>
      <c r="C5" s="1935" t="s">
        <v>449</v>
      </c>
      <c r="D5" s="1937" t="s">
        <v>450</v>
      </c>
      <c r="E5" s="1938"/>
      <c r="F5" s="1939"/>
    </row>
    <row r="6" spans="1:8" ht="59.25" customHeight="1" thickBot="1">
      <c r="A6" s="1934"/>
      <c r="B6" s="1936"/>
      <c r="C6" s="1936"/>
      <c r="D6" s="911" t="s">
        <v>619</v>
      </c>
      <c r="E6" s="911" t="s">
        <v>618</v>
      </c>
      <c r="F6" s="912" t="s">
        <v>389</v>
      </c>
      <c r="H6" s="905" t="s">
        <v>77</v>
      </c>
    </row>
    <row r="7" spans="1:8">
      <c r="A7" s="913">
        <v>1</v>
      </c>
      <c r="B7" s="914">
        <v>2</v>
      </c>
      <c r="C7" s="914">
        <v>3</v>
      </c>
      <c r="D7" s="914">
        <v>4</v>
      </c>
      <c r="E7" s="914">
        <v>5</v>
      </c>
      <c r="F7" s="915">
        <v>6</v>
      </c>
    </row>
    <row r="8" spans="1:8" ht="75">
      <c r="A8" s="916">
        <v>1</v>
      </c>
      <c r="B8" s="917" t="s">
        <v>451</v>
      </c>
      <c r="C8" s="1286"/>
      <c r="D8" s="1286"/>
      <c r="E8" s="1286"/>
      <c r="F8" s="1287"/>
      <c r="G8" s="910"/>
    </row>
    <row r="9" spans="1:8" ht="56.25">
      <c r="A9" s="916">
        <f>A8+1</f>
        <v>2</v>
      </c>
      <c r="B9" s="918" t="s">
        <v>452</v>
      </c>
      <c r="C9" s="1286"/>
      <c r="D9" s="1286"/>
      <c r="E9" s="1286"/>
      <c r="F9" s="1287"/>
      <c r="G9" s="910"/>
    </row>
    <row r="10" spans="1:8" ht="75">
      <c r="A10" s="916">
        <f t="shared" ref="A10:A12" si="0">A9+1</f>
        <v>3</v>
      </c>
      <c r="B10" s="919" t="s">
        <v>453</v>
      </c>
      <c r="C10" s="1286"/>
      <c r="D10" s="1286"/>
      <c r="E10" s="1286"/>
      <c r="F10" s="1287"/>
      <c r="G10" s="910"/>
    </row>
    <row r="11" spans="1:8" ht="93.75">
      <c r="A11" s="916">
        <f t="shared" si="0"/>
        <v>4</v>
      </c>
      <c r="B11" s="920" t="s">
        <v>454</v>
      </c>
      <c r="C11" s="1286"/>
      <c r="D11" s="1286"/>
      <c r="E11" s="1286"/>
      <c r="F11" s="1287"/>
      <c r="G11" s="910"/>
    </row>
    <row r="12" spans="1:8" ht="39" customHeight="1" thickBot="1">
      <c r="A12" s="1284">
        <f t="shared" si="0"/>
        <v>5</v>
      </c>
      <c r="B12" s="1285" t="s">
        <v>455</v>
      </c>
      <c r="C12" s="1288"/>
      <c r="D12" s="1288"/>
      <c r="E12" s="1288"/>
      <c r="F12" s="1289"/>
      <c r="G12" s="910"/>
    </row>
    <row r="13" spans="1:8" ht="19.5" thickBot="1">
      <c r="A13" s="1930" t="s">
        <v>70</v>
      </c>
      <c r="B13" s="1931"/>
      <c r="C13" s="1290">
        <f>SUM(D13:F13)</f>
        <v>0</v>
      </c>
      <c r="D13" s="1290">
        <f>SUM(D8:D12)</f>
        <v>0</v>
      </c>
      <c r="E13" s="1290">
        <f>SUM(E8:E12)</f>
        <v>0</v>
      </c>
      <c r="F13" s="1291"/>
      <c r="G13" s="910"/>
    </row>
    <row r="14" spans="1:8" ht="19.5" thickTop="1">
      <c r="A14" s="921"/>
      <c r="B14" s="922"/>
      <c r="C14" s="922"/>
      <c r="D14" s="922"/>
      <c r="E14" s="922"/>
      <c r="F14" s="922"/>
      <c r="G14" s="910"/>
    </row>
    <row r="15" spans="1:8">
      <c r="A15" s="921"/>
      <c r="B15" s="922"/>
      <c r="C15" s="922"/>
      <c r="D15" s="922"/>
      <c r="E15" s="922"/>
      <c r="F15" s="923"/>
      <c r="G15" s="910"/>
    </row>
    <row r="16" spans="1:8">
      <c r="A16" s="921"/>
      <c r="B16" s="922"/>
      <c r="C16" s="922"/>
      <c r="D16" s="922"/>
      <c r="E16" s="922"/>
      <c r="F16" s="922"/>
      <c r="G16" s="910"/>
    </row>
    <row r="17" spans="1:7">
      <c r="A17" s="921"/>
      <c r="B17" s="921"/>
      <c r="C17" s="921"/>
      <c r="D17" s="921"/>
      <c r="E17" s="921"/>
      <c r="F17" s="921"/>
      <c r="G17" s="910"/>
    </row>
    <row r="18" spans="1:7">
      <c r="A18" s="921"/>
      <c r="B18" s="921"/>
      <c r="C18" s="921"/>
      <c r="D18" s="921"/>
      <c r="E18" s="921"/>
      <c r="F18" s="921"/>
      <c r="G18" s="910"/>
    </row>
    <row r="19" spans="1:7">
      <c r="A19" s="921"/>
      <c r="B19" s="921"/>
      <c r="C19" s="921"/>
      <c r="D19" s="921"/>
      <c r="E19" s="921"/>
      <c r="F19" s="921"/>
    </row>
    <row r="20" spans="1:7">
      <c r="A20" s="921"/>
      <c r="B20" s="921"/>
      <c r="C20" s="921"/>
      <c r="D20" s="921"/>
      <c r="E20" s="921"/>
      <c r="F20" s="921"/>
    </row>
    <row r="21" spans="1:7">
      <c r="A21" s="921"/>
      <c r="B21" s="924"/>
      <c r="C21" s="924"/>
      <c r="D21" s="924"/>
      <c r="E21" s="924"/>
      <c r="F21" s="924"/>
    </row>
    <row r="22" spans="1:7">
      <c r="A22" s="921"/>
      <c r="B22" s="924"/>
      <c r="C22" s="924"/>
      <c r="D22" s="924"/>
      <c r="E22" s="924"/>
      <c r="F22" s="924"/>
    </row>
    <row r="23" spans="1:7">
      <c r="A23" s="921"/>
      <c r="B23" s="924"/>
      <c r="C23" s="924"/>
      <c r="D23" s="924"/>
      <c r="E23" s="924"/>
      <c r="F23" s="924"/>
    </row>
    <row r="24" spans="1:7">
      <c r="A24" s="921"/>
      <c r="B24" s="924"/>
      <c r="C24" s="924"/>
      <c r="D24" s="924"/>
      <c r="E24" s="924"/>
      <c r="F24" s="924"/>
    </row>
    <row r="25" spans="1:7">
      <c r="A25" s="921"/>
      <c r="B25" s="924"/>
      <c r="C25" s="924"/>
      <c r="D25" s="924"/>
      <c r="E25" s="924"/>
      <c r="F25" s="924"/>
    </row>
  </sheetData>
  <mergeCells count="6">
    <mergeCell ref="A13:B13"/>
    <mergeCell ref="A3:F3"/>
    <mergeCell ref="A5:A6"/>
    <mergeCell ref="B5:B6"/>
    <mergeCell ref="C5:C6"/>
    <mergeCell ref="D5:F5"/>
  </mergeCells>
  <hyperlinks>
    <hyperlink ref="H6" location="начало!A1" display="Переход на начальную страницу"/>
  </hyperlinks>
  <printOptions horizontalCentered="1"/>
  <pageMargins left="0.78740157480314965" right="0.39370078740157483" top="0.78740157480314965" bottom="0.78740157480314965" header="0.31496062992125984" footer="0.31496062992125984"/>
  <pageSetup paperSize="9" scale="74"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workbookViewId="0">
      <selection activeCell="C9" sqref="C9"/>
    </sheetView>
  </sheetViews>
  <sheetFormatPr defaultRowHeight="12.75"/>
  <cols>
    <col min="2" max="2" width="47.140625" customWidth="1"/>
    <col min="3" max="7" width="17.140625" customWidth="1"/>
  </cols>
  <sheetData>
    <row r="1" spans="1:8" ht="18.75">
      <c r="A1" s="910"/>
      <c r="B1" s="909"/>
      <c r="C1" s="909"/>
      <c r="D1" s="909"/>
      <c r="E1" s="1941" t="s">
        <v>741</v>
      </c>
      <c r="F1" s="1941"/>
      <c r="G1" s="1941"/>
    </row>
    <row r="2" spans="1:8" ht="18.75">
      <c r="A2" s="910"/>
      <c r="B2" s="1942" t="s">
        <v>742</v>
      </c>
      <c r="C2" s="1942"/>
      <c r="D2" s="1942"/>
      <c r="E2" s="1942"/>
      <c r="F2" s="1942"/>
      <c r="G2" s="1942"/>
    </row>
    <row r="3" spans="1:8" ht="18.75">
      <c r="A3" s="921"/>
      <c r="B3" s="1806"/>
      <c r="C3" s="921"/>
      <c r="D3" s="921"/>
      <c r="G3" s="1822" t="s">
        <v>321</v>
      </c>
      <c r="H3" s="1821"/>
    </row>
    <row r="4" spans="1:8" ht="32.25" customHeight="1">
      <c r="A4" s="1943" t="s">
        <v>381</v>
      </c>
      <c r="B4" s="1943" t="s">
        <v>448</v>
      </c>
      <c r="C4" s="1943" t="s">
        <v>743</v>
      </c>
      <c r="D4" s="1944" t="s">
        <v>749</v>
      </c>
      <c r="E4" s="1944"/>
      <c r="F4" s="1944"/>
      <c r="G4" s="1943" t="s">
        <v>764</v>
      </c>
    </row>
    <row r="5" spans="1:8" ht="45.75" customHeight="1">
      <c r="A5" s="1943"/>
      <c r="B5" s="1943"/>
      <c r="C5" s="1943"/>
      <c r="D5" s="1807" t="s">
        <v>750</v>
      </c>
      <c r="E5" s="1807" t="s">
        <v>751</v>
      </c>
      <c r="F5" s="1808" t="s">
        <v>748</v>
      </c>
      <c r="G5" s="1943"/>
    </row>
    <row r="6" spans="1:8" ht="15.75">
      <c r="A6" s="1809">
        <v>1</v>
      </c>
      <c r="B6" s="1809">
        <v>2</v>
      </c>
      <c r="C6" s="1809">
        <v>3</v>
      </c>
      <c r="D6" s="1809">
        <v>4</v>
      </c>
      <c r="E6" s="1809">
        <v>5</v>
      </c>
      <c r="F6" s="1809">
        <v>6</v>
      </c>
      <c r="G6" s="1810">
        <v>7</v>
      </c>
    </row>
    <row r="7" spans="1:8" ht="18.75">
      <c r="A7" s="1811" t="s">
        <v>744</v>
      </c>
      <c r="B7" s="1812" t="s">
        <v>745</v>
      </c>
      <c r="C7" s="1813">
        <f>C8+C9</f>
        <v>0</v>
      </c>
      <c r="D7" s="1814">
        <f>D8+D9</f>
        <v>0</v>
      </c>
      <c r="E7" s="1814">
        <f t="shared" ref="E7:F7" si="0">E8+E9</f>
        <v>0</v>
      </c>
      <c r="F7" s="1814">
        <f t="shared" si="0"/>
        <v>0</v>
      </c>
      <c r="G7" s="2373"/>
    </row>
    <row r="8" spans="1:8" ht="18.75">
      <c r="A8" s="1815" t="s">
        <v>116</v>
      </c>
      <c r="B8" s="1816"/>
      <c r="C8" s="2369"/>
      <c r="D8" s="1817">
        <f>C8*80%</f>
        <v>0</v>
      </c>
      <c r="E8" s="1817">
        <f>C8*10%</f>
        <v>0</v>
      </c>
      <c r="F8" s="1817">
        <f>C8-D8-E8</f>
        <v>0</v>
      </c>
      <c r="G8" s="2374"/>
    </row>
    <row r="9" spans="1:8" ht="18.75">
      <c r="A9" s="1815" t="s">
        <v>360</v>
      </c>
      <c r="B9" s="1818"/>
      <c r="C9" s="2370"/>
      <c r="D9" s="1817">
        <f>C9*80%</f>
        <v>0</v>
      </c>
      <c r="E9" s="1817">
        <f>C9*10%</f>
        <v>0</v>
      </c>
      <c r="F9" s="1817">
        <f>C9-D9-E9</f>
        <v>0</v>
      </c>
      <c r="G9" s="2374"/>
    </row>
    <row r="10" spans="1:8" ht="18.75">
      <c r="A10" s="1811" t="s">
        <v>117</v>
      </c>
      <c r="B10" s="1812" t="s">
        <v>746</v>
      </c>
      <c r="C10" s="1813">
        <f>C11+C12+C13</f>
        <v>0</v>
      </c>
      <c r="D10" s="1813">
        <f>D11+D12+D13</f>
        <v>0</v>
      </c>
      <c r="E10" s="1813">
        <f t="shared" ref="E10:F10" si="1">E11+E12+E13</f>
        <v>0</v>
      </c>
      <c r="F10" s="1813">
        <f t="shared" si="1"/>
        <v>0</v>
      </c>
      <c r="G10" s="2374"/>
    </row>
    <row r="11" spans="1:8" ht="18.75">
      <c r="A11" s="1819" t="s">
        <v>365</v>
      </c>
      <c r="B11" s="920" t="s">
        <v>747</v>
      </c>
      <c r="C11" s="2371"/>
      <c r="D11" s="1817">
        <f>C11*80%</f>
        <v>0</v>
      </c>
      <c r="E11" s="1817">
        <f>C11*10%</f>
        <v>0</v>
      </c>
      <c r="F11" s="1817">
        <f>C11-D11-E11</f>
        <v>0</v>
      </c>
      <c r="G11" s="2374"/>
    </row>
    <row r="12" spans="1:8" ht="18.75">
      <c r="A12" s="1819"/>
      <c r="B12" s="920"/>
      <c r="C12" s="2371"/>
      <c r="D12" s="1817">
        <f>C12*80%</f>
        <v>0</v>
      </c>
      <c r="E12" s="1817">
        <f>C12*10%</f>
        <v>0</v>
      </c>
      <c r="F12" s="1817">
        <f>C12-D12-E12</f>
        <v>0</v>
      </c>
      <c r="G12" s="2374"/>
    </row>
    <row r="13" spans="1:8" ht="18.75">
      <c r="A13" s="1819"/>
      <c r="B13" s="920"/>
      <c r="C13" s="2371"/>
      <c r="D13" s="1820"/>
      <c r="E13" s="1820"/>
      <c r="F13" s="1820"/>
      <c r="G13" s="2374"/>
    </row>
    <row r="14" spans="1:8" ht="18.75">
      <c r="A14" s="1940" t="s">
        <v>163</v>
      </c>
      <c r="B14" s="1940"/>
      <c r="C14" s="1909">
        <f>C7+C10</f>
        <v>0</v>
      </c>
      <c r="D14" s="1909">
        <f>D7+D10</f>
        <v>0</v>
      </c>
      <c r="E14" s="1909">
        <f>E7+E10</f>
        <v>0</v>
      </c>
      <c r="F14" s="1909">
        <f>F7+F10</f>
        <v>0</v>
      </c>
      <c r="G14" s="1910" t="s">
        <v>221</v>
      </c>
    </row>
    <row r="17" spans="2:2">
      <c r="B17" s="2372" t="s">
        <v>767</v>
      </c>
    </row>
  </sheetData>
  <mergeCells count="8">
    <mergeCell ref="A14:B14"/>
    <mergeCell ref="E1:G1"/>
    <mergeCell ref="B2:G2"/>
    <mergeCell ref="A4:A5"/>
    <mergeCell ref="B4:B5"/>
    <mergeCell ref="C4:C5"/>
    <mergeCell ref="D4:F4"/>
    <mergeCell ref="G4:G5"/>
  </mergeCells>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24"/>
  <sheetViews>
    <sheetView topLeftCell="A73" workbookViewId="0">
      <selection activeCell="K4" sqref="K4"/>
    </sheetView>
  </sheetViews>
  <sheetFormatPr defaultRowHeight="15.75"/>
  <cols>
    <col min="1" max="1" width="17.140625" style="1559" customWidth="1"/>
    <col min="2" max="5" width="5.28515625" style="1559" customWidth="1"/>
    <col min="6" max="12" width="5.7109375" style="1559" customWidth="1"/>
    <col min="13" max="13" width="6.140625" style="1559" customWidth="1"/>
    <col min="14" max="18" width="5.7109375" style="1559" customWidth="1"/>
    <col min="19" max="24" width="5.28515625" style="1559" customWidth="1"/>
    <col min="25" max="25" width="6.140625" style="1559" customWidth="1"/>
    <col min="26" max="26" width="5.28515625" style="1559" customWidth="1"/>
    <col min="27" max="27" width="30" style="1697" customWidth="1"/>
    <col min="28" max="29" width="5.28515625" style="1559" customWidth="1"/>
    <col min="30" max="30" width="15.140625" style="1559" customWidth="1"/>
    <col min="31" max="16384" width="9.140625" style="1559"/>
  </cols>
  <sheetData>
    <row r="1" spans="1:30" ht="14.25" customHeight="1">
      <c r="T1" s="1946" t="s">
        <v>754</v>
      </c>
      <c r="U1" s="1946"/>
      <c r="V1" s="1946"/>
      <c r="W1" s="1946"/>
      <c r="X1" s="1946"/>
      <c r="Y1" s="1946"/>
    </row>
    <row r="2" spans="1:30" ht="14.25" customHeight="1">
      <c r="A2" s="1945" t="s">
        <v>594</v>
      </c>
      <c r="B2" s="1945"/>
      <c r="C2" s="1945"/>
      <c r="D2" s="1945"/>
      <c r="E2" s="1945"/>
      <c r="F2" s="1945"/>
      <c r="G2" s="1945"/>
      <c r="H2" s="1945"/>
      <c r="I2" s="1945"/>
      <c r="J2" s="1945"/>
      <c r="K2" s="1945"/>
      <c r="L2" s="1945"/>
      <c r="M2" s="1945"/>
      <c r="N2" s="1945"/>
      <c r="O2" s="1945"/>
      <c r="P2" s="1945"/>
      <c r="Q2" s="1945"/>
      <c r="R2" s="1945"/>
      <c r="S2" s="1945"/>
      <c r="T2" s="1945"/>
      <c r="U2" s="1945"/>
      <c r="V2" s="1945"/>
      <c r="W2" s="1945"/>
      <c r="X2" s="1945"/>
      <c r="Y2" s="1945"/>
    </row>
    <row r="3" spans="1:30" ht="14.25" customHeight="1">
      <c r="A3" s="1643"/>
      <c r="B3" s="2365">
        <v>2020</v>
      </c>
      <c r="C3" s="2365">
        <v>2021</v>
      </c>
      <c r="D3" s="2365">
        <v>2022</v>
      </c>
      <c r="E3" s="2365">
        <v>2023</v>
      </c>
      <c r="F3" s="2365">
        <v>2024</v>
      </c>
      <c r="G3" s="2365">
        <v>2025</v>
      </c>
      <c r="H3" s="1643"/>
      <c r="I3" s="1643"/>
      <c r="J3" s="1643"/>
      <c r="K3" s="1643"/>
      <c r="L3" s="1643"/>
      <c r="M3" s="1643"/>
      <c r="N3" s="1643"/>
      <c r="O3" s="1643"/>
      <c r="P3" s="1643"/>
      <c r="Q3" s="1643"/>
      <c r="R3" s="1643"/>
      <c r="S3" s="1643"/>
      <c r="T3" s="1643"/>
      <c r="U3" s="1643"/>
      <c r="V3" s="1643"/>
      <c r="W3" s="1643"/>
      <c r="X3" s="1643"/>
      <c r="Y3" s="1643"/>
    </row>
    <row r="4" spans="1:30" ht="16.5" customHeight="1">
      <c r="A4" s="2390" t="s">
        <v>766</v>
      </c>
      <c r="B4" s="2391">
        <f>ППП!B8</f>
        <v>0</v>
      </c>
      <c r="C4" s="2391">
        <f>ППП!C8</f>
        <v>0</v>
      </c>
      <c r="D4" s="2391">
        <f>ППП!D8</f>
        <v>0</v>
      </c>
      <c r="E4" s="2391">
        <f>ППП!E8</f>
        <v>0</v>
      </c>
      <c r="F4" s="2391">
        <f>ППП!F8</f>
        <v>0</v>
      </c>
      <c r="G4" s="2391">
        <f>ППП!G8</f>
        <v>0</v>
      </c>
    </row>
    <row r="5" spans="1:30" ht="17.25" customHeight="1" thickBot="1">
      <c r="A5" s="1642" t="s">
        <v>664</v>
      </c>
    </row>
    <row r="6" spans="1:30" ht="12.75" customHeight="1">
      <c r="A6" s="1964" t="s">
        <v>284</v>
      </c>
      <c r="B6" s="1967" t="s">
        <v>285</v>
      </c>
      <c r="C6" s="1968"/>
      <c r="D6" s="1968"/>
      <c r="E6" s="1969"/>
      <c r="F6" s="1967" t="s">
        <v>245</v>
      </c>
      <c r="G6" s="1968"/>
      <c r="H6" s="1968"/>
      <c r="I6" s="1968"/>
      <c r="J6" s="1968"/>
      <c r="K6" s="1969"/>
      <c r="L6" s="1967" t="s">
        <v>250</v>
      </c>
      <c r="M6" s="1968"/>
      <c r="N6" s="1968"/>
      <c r="O6" s="1968"/>
      <c r="P6" s="1968"/>
      <c r="Q6" s="1968"/>
      <c r="R6" s="1969"/>
      <c r="S6" s="1967" t="s">
        <v>653</v>
      </c>
      <c r="T6" s="1968"/>
      <c r="U6" s="1969"/>
      <c r="V6" s="1959" t="s">
        <v>654</v>
      </c>
      <c r="W6" s="1962" t="s">
        <v>655</v>
      </c>
      <c r="X6" s="1963" t="s">
        <v>637</v>
      </c>
      <c r="Y6" s="1947" t="s">
        <v>256</v>
      </c>
    </row>
    <row r="7" spans="1:30" ht="34.5" customHeight="1">
      <c r="A7" s="1965"/>
      <c r="B7" s="1950" t="s">
        <v>292</v>
      </c>
      <c r="C7" s="1952" t="s">
        <v>242</v>
      </c>
      <c r="D7" s="1954" t="s">
        <v>656</v>
      </c>
      <c r="E7" s="1948" t="s">
        <v>657</v>
      </c>
      <c r="F7" s="1956" t="s">
        <v>658</v>
      </c>
      <c r="G7" s="1957"/>
      <c r="H7" s="1957" t="s">
        <v>659</v>
      </c>
      <c r="I7" s="1957"/>
      <c r="J7" s="1957" t="s">
        <v>660</v>
      </c>
      <c r="K7" s="1958"/>
      <c r="L7" s="1956" t="s">
        <v>299</v>
      </c>
      <c r="M7" s="1957"/>
      <c r="N7" s="1957"/>
      <c r="O7" s="1957" t="s">
        <v>661</v>
      </c>
      <c r="P7" s="1957"/>
      <c r="Q7" s="1957" t="s">
        <v>635</v>
      </c>
      <c r="R7" s="1958"/>
      <c r="S7" s="1950" t="s">
        <v>292</v>
      </c>
      <c r="T7" s="1952" t="s">
        <v>242</v>
      </c>
      <c r="U7" s="1948" t="s">
        <v>656</v>
      </c>
      <c r="V7" s="1960"/>
      <c r="W7" s="1952"/>
      <c r="X7" s="1954"/>
      <c r="Y7" s="1948"/>
      <c r="AA7" s="1853" t="s">
        <v>763</v>
      </c>
      <c r="AB7" s="1559" t="s">
        <v>762</v>
      </c>
    </row>
    <row r="8" spans="1:30" ht="33.75" customHeight="1" thickBot="1">
      <c r="A8" s="1966"/>
      <c r="B8" s="1951"/>
      <c r="C8" s="1953"/>
      <c r="D8" s="1955"/>
      <c r="E8" s="1949"/>
      <c r="F8" s="1560" t="s">
        <v>662</v>
      </c>
      <c r="G8" s="1561" t="s">
        <v>242</v>
      </c>
      <c r="H8" s="1562" t="s">
        <v>662</v>
      </c>
      <c r="I8" s="1561" t="s">
        <v>242</v>
      </c>
      <c r="J8" s="1562" t="s">
        <v>662</v>
      </c>
      <c r="K8" s="1563" t="s">
        <v>242</v>
      </c>
      <c r="L8" s="1560" t="s">
        <v>662</v>
      </c>
      <c r="M8" s="1561" t="s">
        <v>663</v>
      </c>
      <c r="N8" s="1561" t="s">
        <v>242</v>
      </c>
      <c r="O8" s="1562" t="s">
        <v>662</v>
      </c>
      <c r="P8" s="1561" t="s">
        <v>242</v>
      </c>
      <c r="Q8" s="1562" t="s">
        <v>662</v>
      </c>
      <c r="R8" s="1563" t="s">
        <v>242</v>
      </c>
      <c r="S8" s="1951"/>
      <c r="T8" s="1953"/>
      <c r="U8" s="1949"/>
      <c r="V8" s="1961"/>
      <c r="W8" s="1953"/>
      <c r="X8" s="1955"/>
      <c r="Y8" s="1949"/>
      <c r="AA8" s="2386" t="s">
        <v>768</v>
      </c>
    </row>
    <row r="9" spans="1:30" ht="9.75" customHeight="1" thickBot="1">
      <c r="A9" s="1564" t="s">
        <v>305</v>
      </c>
      <c r="B9" s="1565">
        <v>1</v>
      </c>
      <c r="C9" s="1566">
        <v>2</v>
      </c>
      <c r="D9" s="1566">
        <v>3</v>
      </c>
      <c r="E9" s="1567">
        <v>4</v>
      </c>
      <c r="F9" s="1565">
        <v>5</v>
      </c>
      <c r="G9" s="1566">
        <v>6</v>
      </c>
      <c r="H9" s="1566">
        <v>7</v>
      </c>
      <c r="I9" s="1566">
        <v>8</v>
      </c>
      <c r="J9" s="1566">
        <v>9</v>
      </c>
      <c r="K9" s="1567">
        <v>10</v>
      </c>
      <c r="L9" s="1565">
        <v>11</v>
      </c>
      <c r="M9" s="1566">
        <v>12</v>
      </c>
      <c r="N9" s="1566">
        <v>13</v>
      </c>
      <c r="O9" s="1566">
        <v>14</v>
      </c>
      <c r="P9" s="1566">
        <v>15</v>
      </c>
      <c r="Q9" s="1566">
        <v>16</v>
      </c>
      <c r="R9" s="1567">
        <v>17</v>
      </c>
      <c r="S9" s="1565">
        <v>18</v>
      </c>
      <c r="T9" s="1566">
        <v>19</v>
      </c>
      <c r="U9" s="1567">
        <v>20</v>
      </c>
      <c r="V9" s="1568">
        <v>21</v>
      </c>
      <c r="W9" s="1566">
        <v>22</v>
      </c>
      <c r="X9" s="1566">
        <v>23</v>
      </c>
      <c r="Y9" s="1567">
        <v>24</v>
      </c>
    </row>
    <row r="10" spans="1:30" ht="12.75" customHeight="1">
      <c r="A10" s="1569" t="s">
        <v>580</v>
      </c>
      <c r="B10" s="1577"/>
      <c r="C10" s="1571">
        <f>B10*D10/1000</f>
        <v>0</v>
      </c>
      <c r="D10" s="1572">
        <v>460</v>
      </c>
      <c r="E10" s="1573">
        <f>B10*43</f>
        <v>0</v>
      </c>
      <c r="F10" s="1570"/>
      <c r="G10" s="1574"/>
      <c r="H10" s="1575"/>
      <c r="I10" s="1575"/>
      <c r="J10" s="1575"/>
      <c r="K10" s="1576"/>
      <c r="L10" s="2388"/>
      <c r="M10" s="1907"/>
      <c r="N10" s="1908"/>
      <c r="O10" s="1620"/>
      <c r="P10" s="1572"/>
      <c r="Q10" s="1572"/>
      <c r="R10" s="1579"/>
      <c r="S10" s="1580">
        <f t="shared" ref="S10:S20" si="0">B10+F10+H10+J10-L10-O10-Q10</f>
        <v>0</v>
      </c>
      <c r="T10" s="1571">
        <f>S10*D10/1000</f>
        <v>0</v>
      </c>
      <c r="U10" s="1573">
        <f>D10</f>
        <v>460</v>
      </c>
      <c r="V10" s="1621">
        <f t="shared" ref="V10:V13" si="1">Y10/365</f>
        <v>0</v>
      </c>
      <c r="W10" s="1578"/>
      <c r="X10" s="2392"/>
      <c r="Y10" s="1582"/>
      <c r="AA10" s="1698">
        <f>B10*365+F10*280-L10*305</f>
        <v>0</v>
      </c>
      <c r="AC10" s="1694"/>
      <c r="AD10" s="1970" t="s">
        <v>679</v>
      </c>
    </row>
    <row r="11" spans="1:30" ht="12.75" customHeight="1">
      <c r="A11" s="1583" t="s">
        <v>581</v>
      </c>
      <c r="B11" s="1591"/>
      <c r="C11" s="1585">
        <f>D11*B11/1000</f>
        <v>0</v>
      </c>
      <c r="D11" s="1586">
        <v>480</v>
      </c>
      <c r="E11" s="1587">
        <f>C11*43</f>
        <v>0</v>
      </c>
      <c r="F11" s="1584"/>
      <c r="G11" s="1588"/>
      <c r="H11" s="1589"/>
      <c r="I11" s="1589"/>
      <c r="J11" s="1589"/>
      <c r="K11" s="1590"/>
      <c r="L11" s="2389"/>
      <c r="M11" s="1908"/>
      <c r="N11" s="1908"/>
      <c r="O11" s="2366"/>
      <c r="P11" s="1586"/>
      <c r="Q11" s="1586"/>
      <c r="R11" s="1594"/>
      <c r="S11" s="1595">
        <f t="shared" si="0"/>
        <v>0</v>
      </c>
      <c r="T11" s="1585">
        <f t="shared" ref="T11:T20" si="2">S11*D11/1000</f>
        <v>0</v>
      </c>
      <c r="U11" s="1587">
        <f t="shared" ref="U11:U20" si="3">D11</f>
        <v>480</v>
      </c>
      <c r="V11" s="1623">
        <f t="shared" si="1"/>
        <v>0</v>
      </c>
      <c r="W11" s="1593"/>
      <c r="X11" s="2392"/>
      <c r="Y11" s="1597"/>
      <c r="AA11" s="1698">
        <f>B11*365+F11*280-L11*305</f>
        <v>0</v>
      </c>
      <c r="AC11" s="1694"/>
      <c r="AD11" s="1970"/>
    </row>
    <row r="12" spans="1:30" ht="12.75" customHeight="1">
      <c r="A12" s="1583" t="s">
        <v>582</v>
      </c>
      <c r="B12" s="1591"/>
      <c r="C12" s="1585">
        <f t="shared" ref="C12:C20" si="4">D12*B12/1000</f>
        <v>0</v>
      </c>
      <c r="D12" s="1586">
        <v>430</v>
      </c>
      <c r="E12" s="1587">
        <f>B12*36</f>
        <v>0</v>
      </c>
      <c r="F12" s="1595">
        <f>O16</f>
        <v>0</v>
      </c>
      <c r="G12" s="2393">
        <f>P16</f>
        <v>0</v>
      </c>
      <c r="H12" s="1589"/>
      <c r="I12" s="1589"/>
      <c r="J12" s="1589"/>
      <c r="K12" s="1590"/>
      <c r="L12" s="2389"/>
      <c r="M12" s="1908"/>
      <c r="N12" s="1908"/>
      <c r="O12" s="1586"/>
      <c r="P12" s="1586"/>
      <c r="Q12" s="1586"/>
      <c r="R12" s="1594"/>
      <c r="S12" s="1595">
        <f t="shared" si="0"/>
        <v>0</v>
      </c>
      <c r="T12" s="1585">
        <f t="shared" si="2"/>
        <v>0</v>
      </c>
      <c r="U12" s="1587">
        <f t="shared" si="3"/>
        <v>430</v>
      </c>
      <c r="V12" s="1623">
        <f t="shared" si="1"/>
        <v>0</v>
      </c>
      <c r="W12" s="1593"/>
      <c r="X12" s="2392"/>
      <c r="Y12" s="1597"/>
      <c r="AA12" s="1698">
        <f>B12*365+F12*280-L12*305</f>
        <v>0</v>
      </c>
      <c r="AC12" s="1694"/>
      <c r="AD12" s="1970"/>
    </row>
    <row r="13" spans="1:30" ht="12.75" customHeight="1">
      <c r="A13" s="1583" t="s">
        <v>583</v>
      </c>
      <c r="B13" s="1591"/>
      <c r="C13" s="1585">
        <f t="shared" si="4"/>
        <v>0</v>
      </c>
      <c r="D13" s="1586"/>
      <c r="E13" s="1587"/>
      <c r="F13" s="2387">
        <f>O10+O11+O12</f>
        <v>0</v>
      </c>
      <c r="G13" s="2394">
        <f>P10+P11+P12</f>
        <v>0</v>
      </c>
      <c r="H13" s="1589"/>
      <c r="I13" s="1589"/>
      <c r="J13" s="1589"/>
      <c r="K13" s="1590"/>
      <c r="L13" s="1591"/>
      <c r="M13" s="1586"/>
      <c r="N13" s="2398">
        <f t="shared" ref="N13:N20" si="5">M13*L13/1000</f>
        <v>0</v>
      </c>
      <c r="O13" s="1593"/>
      <c r="P13" s="1593"/>
      <c r="Q13" s="1586"/>
      <c r="R13" s="1594"/>
      <c r="S13" s="1595">
        <f t="shared" si="0"/>
        <v>0</v>
      </c>
      <c r="T13" s="1585">
        <f t="shared" si="2"/>
        <v>0</v>
      </c>
      <c r="U13" s="1587">
        <f t="shared" si="3"/>
        <v>0</v>
      </c>
      <c r="V13" s="1623">
        <f t="shared" si="1"/>
        <v>0</v>
      </c>
      <c r="W13" s="1592">
        <f>T13+R13+P13+N13-K13-I13-G13-C13</f>
        <v>0</v>
      </c>
      <c r="X13" s="1692" t="e">
        <f t="shared" ref="X10:X20" si="6">W13*10^6/Y13</f>
        <v>#DIV/0!</v>
      </c>
      <c r="Y13" s="1597"/>
      <c r="AA13" s="1698">
        <f>B13*365+F13*280</f>
        <v>0</v>
      </c>
      <c r="AC13" s="1694"/>
      <c r="AD13" s="1970"/>
    </row>
    <row r="14" spans="1:30" ht="12.75" customHeight="1">
      <c r="A14" s="1598" t="s">
        <v>584</v>
      </c>
      <c r="B14" s="1591"/>
      <c r="C14" s="1585">
        <f t="shared" si="4"/>
        <v>0</v>
      </c>
      <c r="D14" s="1586">
        <v>450</v>
      </c>
      <c r="E14" s="1587">
        <f>C14*64</f>
        <v>0</v>
      </c>
      <c r="F14" s="1595">
        <f>O15</f>
        <v>0</v>
      </c>
      <c r="G14" s="2393">
        <f>P15</f>
        <v>0</v>
      </c>
      <c r="H14" s="1589"/>
      <c r="I14" s="1589"/>
      <c r="J14" s="1589"/>
      <c r="K14" s="1590"/>
      <c r="L14" s="1591"/>
      <c r="M14" s="1586"/>
      <c r="N14" s="2398">
        <f t="shared" si="5"/>
        <v>0</v>
      </c>
      <c r="O14" s="1592">
        <f>B14-L14-Q14</f>
        <v>0</v>
      </c>
      <c r="P14" s="2364"/>
      <c r="Q14" s="1586"/>
      <c r="R14" s="1594"/>
      <c r="S14" s="1595">
        <f t="shared" si="0"/>
        <v>0</v>
      </c>
      <c r="T14" s="1585">
        <f t="shared" si="2"/>
        <v>0</v>
      </c>
      <c r="U14" s="1587">
        <f t="shared" si="3"/>
        <v>450</v>
      </c>
      <c r="V14" s="1623">
        <f t="shared" ref="V14:V20" si="7">Y14/365</f>
        <v>0</v>
      </c>
      <c r="W14" s="1592">
        <f t="shared" ref="W13:W20" si="8">T14+R14+P14+N14-K14-I14-G14-C14</f>
        <v>0</v>
      </c>
      <c r="X14" s="1692" t="e">
        <f t="shared" si="6"/>
        <v>#DIV/0!</v>
      </c>
      <c r="Y14" s="1597"/>
      <c r="AA14" s="1698">
        <f>B14*365+F14*30-L14*60</f>
        <v>0</v>
      </c>
      <c r="AC14" s="1694"/>
      <c r="AD14" s="1970"/>
    </row>
    <row r="15" spans="1:30" ht="12.75" customHeight="1">
      <c r="A15" s="1598" t="s">
        <v>585</v>
      </c>
      <c r="B15" s="1591"/>
      <c r="C15" s="1585">
        <f t="shared" si="4"/>
        <v>0</v>
      </c>
      <c r="D15" s="1586">
        <v>410</v>
      </c>
      <c r="E15" s="1587">
        <f t="shared" ref="E15:E20" si="9">C15*64</f>
        <v>0</v>
      </c>
      <c r="F15" s="1595">
        <f t="shared" ref="F15:G20" si="10">O17</f>
        <v>0</v>
      </c>
      <c r="G15" s="2393">
        <f t="shared" si="10"/>
        <v>0</v>
      </c>
      <c r="H15" s="1589"/>
      <c r="I15" s="1589"/>
      <c r="J15" s="1589"/>
      <c r="K15" s="1590"/>
      <c r="L15" s="1591"/>
      <c r="M15" s="1586"/>
      <c r="N15" s="2398">
        <f t="shared" si="5"/>
        <v>0</v>
      </c>
      <c r="O15" s="1592">
        <f>B15-L15-Q15</f>
        <v>0</v>
      </c>
      <c r="P15" s="1585">
        <f>O15*D14/1000</f>
        <v>0</v>
      </c>
      <c r="Q15" s="1586"/>
      <c r="R15" s="1594"/>
      <c r="S15" s="1595">
        <f t="shared" si="0"/>
        <v>0</v>
      </c>
      <c r="T15" s="1585">
        <f t="shared" si="2"/>
        <v>0</v>
      </c>
      <c r="U15" s="1587">
        <f t="shared" si="3"/>
        <v>410</v>
      </c>
      <c r="V15" s="1623">
        <f t="shared" si="7"/>
        <v>0</v>
      </c>
      <c r="W15" s="1592">
        <f t="shared" si="8"/>
        <v>0</v>
      </c>
      <c r="X15" s="1692" t="e">
        <f t="shared" si="6"/>
        <v>#DIV/0!</v>
      </c>
      <c r="Y15" s="1597"/>
      <c r="AA15" s="1698">
        <f>B15*365+F15*30-L15*60-O15*30</f>
        <v>0</v>
      </c>
      <c r="AC15" s="1694"/>
      <c r="AD15" s="1970"/>
    </row>
    <row r="16" spans="1:30" ht="12.75" customHeight="1">
      <c r="A16" s="1598" t="s">
        <v>586</v>
      </c>
      <c r="B16" s="1591"/>
      <c r="C16" s="1585">
        <f t="shared" si="4"/>
        <v>0</v>
      </c>
      <c r="D16" s="1586">
        <v>380</v>
      </c>
      <c r="E16" s="1587">
        <f t="shared" si="9"/>
        <v>0</v>
      </c>
      <c r="F16" s="1595">
        <f t="shared" si="10"/>
        <v>0</v>
      </c>
      <c r="G16" s="2393">
        <f t="shared" si="10"/>
        <v>0</v>
      </c>
      <c r="H16" s="1589"/>
      <c r="I16" s="1589"/>
      <c r="J16" s="1589"/>
      <c r="K16" s="1590"/>
      <c r="L16" s="1591"/>
      <c r="M16" s="1586"/>
      <c r="N16" s="2398">
        <f>M16*L16/1000</f>
        <v>0</v>
      </c>
      <c r="O16" s="1592">
        <f t="shared" ref="O15:O19" si="11">B16-L16-Q16</f>
        <v>0</v>
      </c>
      <c r="P16" s="1585">
        <f>O16*D12/1000</f>
        <v>0</v>
      </c>
      <c r="Q16" s="1586"/>
      <c r="R16" s="1594"/>
      <c r="S16" s="1595">
        <f t="shared" si="0"/>
        <v>0</v>
      </c>
      <c r="T16" s="1585">
        <f t="shared" si="2"/>
        <v>0</v>
      </c>
      <c r="U16" s="1587">
        <f t="shared" si="3"/>
        <v>380</v>
      </c>
      <c r="V16" s="1623">
        <f t="shared" si="7"/>
        <v>0</v>
      </c>
      <c r="W16" s="1592">
        <f t="shared" si="8"/>
        <v>0</v>
      </c>
      <c r="X16" s="1692" t="e">
        <f>W16*10^6/Y16</f>
        <v>#DIV/0!</v>
      </c>
      <c r="Y16" s="1597"/>
      <c r="AA16" s="1698">
        <f t="shared" ref="AA16:AA20" si="12">B16*365+F16*30-L16*60-O16*30</f>
        <v>0</v>
      </c>
      <c r="AC16" s="1694"/>
      <c r="AD16" s="1970"/>
    </row>
    <row r="17" spans="1:30" ht="12.75" customHeight="1">
      <c r="A17" s="1598" t="s">
        <v>587</v>
      </c>
      <c r="B17" s="1591"/>
      <c r="C17" s="1585">
        <f t="shared" si="4"/>
        <v>0</v>
      </c>
      <c r="D17" s="1586">
        <v>350</v>
      </c>
      <c r="E17" s="1587">
        <f t="shared" si="9"/>
        <v>0</v>
      </c>
      <c r="F17" s="1595">
        <f t="shared" si="10"/>
        <v>0</v>
      </c>
      <c r="G17" s="2393">
        <f t="shared" si="10"/>
        <v>0</v>
      </c>
      <c r="H17" s="1589"/>
      <c r="I17" s="1589"/>
      <c r="J17" s="1589"/>
      <c r="K17" s="1590"/>
      <c r="L17" s="1591"/>
      <c r="M17" s="1586"/>
      <c r="N17" s="2398">
        <f t="shared" si="5"/>
        <v>0</v>
      </c>
      <c r="O17" s="1592">
        <f t="shared" si="11"/>
        <v>0</v>
      </c>
      <c r="P17" s="1585">
        <f>O17*D15/1000</f>
        <v>0</v>
      </c>
      <c r="Q17" s="1586"/>
      <c r="R17" s="1594"/>
      <c r="S17" s="1595">
        <f t="shared" si="0"/>
        <v>0</v>
      </c>
      <c r="T17" s="1585">
        <f t="shared" si="2"/>
        <v>0</v>
      </c>
      <c r="U17" s="1587">
        <f t="shared" si="3"/>
        <v>350</v>
      </c>
      <c r="V17" s="1623">
        <f t="shared" si="7"/>
        <v>0</v>
      </c>
      <c r="W17" s="1592">
        <f t="shared" si="8"/>
        <v>0</v>
      </c>
      <c r="X17" s="1692" t="e">
        <f t="shared" si="6"/>
        <v>#DIV/0!</v>
      </c>
      <c r="Y17" s="1597"/>
      <c r="AA17" s="1698">
        <f t="shared" si="12"/>
        <v>0</v>
      </c>
      <c r="AC17" s="1694"/>
      <c r="AD17" s="1970"/>
    </row>
    <row r="18" spans="1:30" ht="12.75" customHeight="1">
      <c r="A18" s="1598" t="s">
        <v>588</v>
      </c>
      <c r="B18" s="1591"/>
      <c r="C18" s="1585">
        <f t="shared" si="4"/>
        <v>0</v>
      </c>
      <c r="D18" s="1586">
        <v>320</v>
      </c>
      <c r="E18" s="1587">
        <f t="shared" si="9"/>
        <v>0</v>
      </c>
      <c r="F18" s="1595">
        <f t="shared" si="10"/>
        <v>0</v>
      </c>
      <c r="G18" s="2393">
        <f t="shared" si="10"/>
        <v>0</v>
      </c>
      <c r="H18" s="1589"/>
      <c r="I18" s="1589"/>
      <c r="J18" s="1589"/>
      <c r="K18" s="1590"/>
      <c r="L18" s="1591"/>
      <c r="M18" s="1586"/>
      <c r="N18" s="2398">
        <f t="shared" si="5"/>
        <v>0</v>
      </c>
      <c r="O18" s="1592">
        <f t="shared" si="11"/>
        <v>0</v>
      </c>
      <c r="P18" s="1585">
        <f>O18*D16/1000</f>
        <v>0</v>
      </c>
      <c r="Q18" s="1586"/>
      <c r="R18" s="1594"/>
      <c r="S18" s="1595">
        <f t="shared" si="0"/>
        <v>0</v>
      </c>
      <c r="T18" s="1585">
        <f t="shared" si="2"/>
        <v>0</v>
      </c>
      <c r="U18" s="1587">
        <f t="shared" si="3"/>
        <v>320</v>
      </c>
      <c r="V18" s="1623">
        <f t="shared" si="7"/>
        <v>0</v>
      </c>
      <c r="W18" s="1592">
        <f t="shared" si="8"/>
        <v>0</v>
      </c>
      <c r="X18" s="1692" t="e">
        <f t="shared" si="6"/>
        <v>#DIV/0!</v>
      </c>
      <c r="Y18" s="1597"/>
      <c r="AA18" s="1698">
        <f t="shared" si="12"/>
        <v>0</v>
      </c>
      <c r="AC18" s="1694"/>
      <c r="AD18" s="1970"/>
    </row>
    <row r="19" spans="1:30" ht="12.75" customHeight="1">
      <c r="A19" s="1598" t="s">
        <v>589</v>
      </c>
      <c r="B19" s="1591"/>
      <c r="C19" s="1585">
        <f t="shared" si="4"/>
        <v>0</v>
      </c>
      <c r="D19" s="1586">
        <v>210</v>
      </c>
      <c r="E19" s="1587">
        <f t="shared" si="9"/>
        <v>0</v>
      </c>
      <c r="F19" s="1595">
        <f t="shared" si="10"/>
        <v>0</v>
      </c>
      <c r="G19" s="2393">
        <f t="shared" si="10"/>
        <v>0</v>
      </c>
      <c r="H19" s="1589"/>
      <c r="I19" s="1589"/>
      <c r="J19" s="1589"/>
      <c r="K19" s="1590"/>
      <c r="L19" s="1591"/>
      <c r="M19" s="1586"/>
      <c r="N19" s="2398">
        <f t="shared" si="5"/>
        <v>0</v>
      </c>
      <c r="O19" s="1592">
        <f t="shared" si="11"/>
        <v>0</v>
      </c>
      <c r="P19" s="1585">
        <f>O19*D17/1000</f>
        <v>0</v>
      </c>
      <c r="Q19" s="1586"/>
      <c r="R19" s="1594"/>
      <c r="S19" s="1595">
        <f t="shared" si="0"/>
        <v>0</v>
      </c>
      <c r="T19" s="1585">
        <f t="shared" si="2"/>
        <v>0</v>
      </c>
      <c r="U19" s="1587">
        <f t="shared" si="3"/>
        <v>210</v>
      </c>
      <c r="V19" s="1623">
        <f t="shared" si="7"/>
        <v>0</v>
      </c>
      <c r="W19" s="1592">
        <f t="shared" si="8"/>
        <v>0</v>
      </c>
      <c r="X19" s="1692" t="e">
        <f t="shared" si="6"/>
        <v>#DIV/0!</v>
      </c>
      <c r="Y19" s="1597"/>
      <c r="AA19" s="1698">
        <f t="shared" si="12"/>
        <v>0</v>
      </c>
      <c r="AC19" s="1694"/>
      <c r="AD19" s="1970"/>
    </row>
    <row r="20" spans="1:30" ht="12.75" customHeight="1">
      <c r="A20" s="1598" t="s">
        <v>590</v>
      </c>
      <c r="B20" s="1591"/>
      <c r="C20" s="1585">
        <f t="shared" si="4"/>
        <v>0</v>
      </c>
      <c r="D20" s="1586">
        <v>210</v>
      </c>
      <c r="E20" s="1587">
        <f t="shared" si="9"/>
        <v>0</v>
      </c>
      <c r="F20" s="1595">
        <f t="shared" si="10"/>
        <v>0</v>
      </c>
      <c r="G20" s="2393">
        <f t="shared" si="10"/>
        <v>0</v>
      </c>
      <c r="H20" s="1589"/>
      <c r="I20" s="1589"/>
      <c r="J20" s="1589"/>
      <c r="K20" s="1590"/>
      <c r="L20" s="1591"/>
      <c r="M20" s="1586"/>
      <c r="N20" s="2398">
        <f t="shared" si="5"/>
        <v>0</v>
      </c>
      <c r="O20" s="1592">
        <f>B20-L20-Q20</f>
        <v>0</v>
      </c>
      <c r="P20" s="1585">
        <f>O20*D18/1000</f>
        <v>0</v>
      </c>
      <c r="Q20" s="1586"/>
      <c r="R20" s="1594"/>
      <c r="S20" s="1595">
        <f t="shared" si="0"/>
        <v>0</v>
      </c>
      <c r="T20" s="1585">
        <f t="shared" si="2"/>
        <v>0</v>
      </c>
      <c r="U20" s="1587">
        <f t="shared" si="3"/>
        <v>210</v>
      </c>
      <c r="V20" s="1623">
        <f t="shared" si="7"/>
        <v>0</v>
      </c>
      <c r="W20" s="1592">
        <f t="shared" si="8"/>
        <v>0</v>
      </c>
      <c r="X20" s="1692" t="e">
        <f t="shared" si="6"/>
        <v>#DIV/0!</v>
      </c>
      <c r="Y20" s="1597"/>
      <c r="AA20" s="1698">
        <f t="shared" si="12"/>
        <v>0</v>
      </c>
      <c r="AC20" s="1694"/>
      <c r="AD20" s="1970"/>
    </row>
    <row r="21" spans="1:30" ht="12.75" customHeight="1">
      <c r="A21" s="1598" t="s">
        <v>591</v>
      </c>
      <c r="B21" s="1584"/>
      <c r="C21" s="1593"/>
      <c r="D21" s="1586">
        <v>25</v>
      </c>
      <c r="E21" s="1587"/>
      <c r="F21" s="1604">
        <f>INT(B$4%*B$12/2)</f>
        <v>0</v>
      </c>
      <c r="G21" s="2393">
        <f>D21*F21/1000</f>
        <v>0</v>
      </c>
      <c r="H21" s="1589"/>
      <c r="I21" s="1589"/>
      <c r="J21" s="1589"/>
      <c r="K21" s="1590"/>
      <c r="L21" s="1591"/>
      <c r="M21" s="1586"/>
      <c r="N21" s="2398">
        <f>M21*L21/1000</f>
        <v>0</v>
      </c>
      <c r="O21" s="1592">
        <f t="shared" ref="O21" si="13">F21-L21-Q21</f>
        <v>0</v>
      </c>
      <c r="P21" s="1585">
        <f>O21*210/1000</f>
        <v>0</v>
      </c>
      <c r="Q21" s="1586"/>
      <c r="R21" s="1594">
        <f>Q21*50/1000</f>
        <v>0</v>
      </c>
      <c r="S21" s="1595">
        <f>B21+F21+H21+J21-L21-O21-Q21</f>
        <v>0</v>
      </c>
      <c r="T21" s="1585">
        <v>0</v>
      </c>
      <c r="U21" s="1587">
        <v>0</v>
      </c>
      <c r="V21" s="1623">
        <f>Y21/365</f>
        <v>0</v>
      </c>
      <c r="W21" s="1592">
        <f>T21+R21+P21+N21-K21-I21-G21-C21</f>
        <v>0</v>
      </c>
      <c r="X21" s="1692" t="e">
        <f>W21*10^6/Y21</f>
        <v>#DIV/0!</v>
      </c>
      <c r="Y21" s="1597"/>
      <c r="AA21" s="1698">
        <f>F21*280-L21*60-O21*30</f>
        <v>0</v>
      </c>
      <c r="AC21" s="1694"/>
      <c r="AD21" s="1970"/>
    </row>
    <row r="22" spans="1:30" ht="12.75" customHeight="1" thickBot="1">
      <c r="A22" s="1599" t="s">
        <v>592</v>
      </c>
      <c r="B22" s="1600"/>
      <c r="C22" s="1601"/>
      <c r="D22" s="1602">
        <v>25</v>
      </c>
      <c r="E22" s="1603"/>
      <c r="F22" s="1604">
        <f>INT(B$4%*B$12/2)</f>
        <v>0</v>
      </c>
      <c r="G22" s="2395">
        <f>D22*F22/1000</f>
        <v>0</v>
      </c>
      <c r="H22" s="2363"/>
      <c r="I22" s="2363"/>
      <c r="J22" s="1605"/>
      <c r="K22" s="1606"/>
      <c r="L22" s="1607"/>
      <c r="M22" s="1602"/>
      <c r="N22" s="2399">
        <f>M22*L22/1000</f>
        <v>0</v>
      </c>
      <c r="O22" s="1608">
        <f>F22+H22-L22-Q22</f>
        <v>0</v>
      </c>
      <c r="P22" s="2401">
        <f>O22*210/1000</f>
        <v>0</v>
      </c>
      <c r="Q22" s="1602"/>
      <c r="R22" s="1609">
        <f>Q22*50/1000</f>
        <v>0</v>
      </c>
      <c r="S22" s="1604">
        <f>B22+F22+H22+J22-L22-O22-Q22</f>
        <v>0</v>
      </c>
      <c r="T22" s="2401">
        <v>0</v>
      </c>
      <c r="U22" s="1603">
        <v>0</v>
      </c>
      <c r="V22" s="2396">
        <f>Y22/365</f>
        <v>0</v>
      </c>
      <c r="W22" s="1608">
        <f>T22+R22+P22+N22-K22-I22-G22-C22</f>
        <v>0</v>
      </c>
      <c r="X22" s="1693" t="e">
        <f>W22*10^6/Y22</f>
        <v>#DIV/0!</v>
      </c>
      <c r="Y22" s="1610"/>
      <c r="AA22" s="1698">
        <f>F22*280-L22*60-O22*30</f>
        <v>0</v>
      </c>
      <c r="AC22" s="1694"/>
      <c r="AD22" s="1970"/>
    </row>
    <row r="23" spans="1:30" ht="12.75" customHeight="1" thickBot="1">
      <c r="A23" s="2375" t="s">
        <v>238</v>
      </c>
      <c r="B23" s="2376">
        <f>SUM(B10:B22)</f>
        <v>0</v>
      </c>
      <c r="C23" s="2377">
        <f>SUM(C10:C22)</f>
        <v>0</v>
      </c>
      <c r="D23" s="2378" t="s">
        <v>221</v>
      </c>
      <c r="E23" s="2379">
        <f>SUM(E10:E22)</f>
        <v>0</v>
      </c>
      <c r="F23" s="2376">
        <f t="shared" ref="F23:Y23" si="14">SUM(F10:F22)</f>
        <v>0</v>
      </c>
      <c r="G23" s="2377">
        <f t="shared" si="14"/>
        <v>0</v>
      </c>
      <c r="H23" s="2377">
        <f t="shared" si="14"/>
        <v>0</v>
      </c>
      <c r="I23" s="2377">
        <f t="shared" si="14"/>
        <v>0</v>
      </c>
      <c r="J23" s="2377">
        <f t="shared" si="14"/>
        <v>0</v>
      </c>
      <c r="K23" s="2379">
        <f t="shared" si="14"/>
        <v>0</v>
      </c>
      <c r="L23" s="2376">
        <f t="shared" si="14"/>
        <v>0</v>
      </c>
      <c r="M23" s="2380" t="e">
        <f>N23/L23*1000</f>
        <v>#DIV/0!</v>
      </c>
      <c r="N23" s="2400">
        <f t="shared" si="14"/>
        <v>0</v>
      </c>
      <c r="O23" s="2377">
        <f t="shared" si="14"/>
        <v>0</v>
      </c>
      <c r="P23" s="2400">
        <f t="shared" si="14"/>
        <v>0</v>
      </c>
      <c r="Q23" s="2377">
        <f t="shared" si="14"/>
        <v>0</v>
      </c>
      <c r="R23" s="2379">
        <f t="shared" si="14"/>
        <v>0</v>
      </c>
      <c r="S23" s="2376">
        <f t="shared" si="14"/>
        <v>0</v>
      </c>
      <c r="T23" s="2400">
        <f t="shared" si="14"/>
        <v>0</v>
      </c>
      <c r="U23" s="2379" t="s">
        <v>221</v>
      </c>
      <c r="V23" s="2397">
        <f t="shared" si="14"/>
        <v>0</v>
      </c>
      <c r="W23" s="2380">
        <f t="shared" si="14"/>
        <v>0</v>
      </c>
      <c r="X23" s="2377" t="s">
        <v>221</v>
      </c>
      <c r="Y23" s="2381">
        <f t="shared" si="14"/>
        <v>0</v>
      </c>
    </row>
    <row r="24" spans="1:30" ht="8.25" customHeight="1">
      <c r="B24" s="1611"/>
      <c r="C24" s="1611"/>
      <c r="D24" s="1611"/>
      <c r="E24" s="1611"/>
      <c r="F24" s="1611"/>
      <c r="G24" s="1611"/>
      <c r="H24" s="1611"/>
      <c r="I24" s="1611"/>
      <c r="J24" s="1611"/>
      <c r="K24" s="1611"/>
      <c r="L24" s="1611"/>
      <c r="M24" s="1611"/>
      <c r="N24" s="1611"/>
      <c r="O24" s="1611"/>
      <c r="P24" s="1611"/>
      <c r="Q24" s="1611"/>
      <c r="R24" s="1611"/>
      <c r="S24" s="1611"/>
      <c r="T24" s="1611"/>
      <c r="U24" s="1611"/>
      <c r="V24" s="1611"/>
      <c r="W24" s="1611"/>
      <c r="X24" s="1611"/>
    </row>
    <row r="25" spans="1:30" ht="13.5" customHeight="1" thickBot="1">
      <c r="A25" s="1642" t="s">
        <v>665</v>
      </c>
    </row>
    <row r="26" spans="1:30" ht="11.25" customHeight="1">
      <c r="A26" s="1964" t="s">
        <v>284</v>
      </c>
      <c r="B26" s="1967" t="s">
        <v>285</v>
      </c>
      <c r="C26" s="1968"/>
      <c r="D26" s="1968"/>
      <c r="E26" s="1969"/>
      <c r="F26" s="1967" t="s">
        <v>245</v>
      </c>
      <c r="G26" s="1968"/>
      <c r="H26" s="1968"/>
      <c r="I26" s="1968"/>
      <c r="J26" s="1968"/>
      <c r="K26" s="1969"/>
      <c r="L26" s="1967" t="s">
        <v>250</v>
      </c>
      <c r="M26" s="1968"/>
      <c r="N26" s="1968"/>
      <c r="O26" s="1968"/>
      <c r="P26" s="1968"/>
      <c r="Q26" s="1968"/>
      <c r="R26" s="1969"/>
      <c r="S26" s="1967" t="s">
        <v>653</v>
      </c>
      <c r="T26" s="1968"/>
      <c r="U26" s="1969"/>
      <c r="V26" s="1959" t="s">
        <v>654</v>
      </c>
      <c r="W26" s="1962" t="s">
        <v>655</v>
      </c>
      <c r="X26" s="1963" t="s">
        <v>637</v>
      </c>
      <c r="Y26" s="1947" t="s">
        <v>256</v>
      </c>
    </row>
    <row r="27" spans="1:30" ht="42.75" customHeight="1">
      <c r="A27" s="1965"/>
      <c r="B27" s="1950" t="s">
        <v>292</v>
      </c>
      <c r="C27" s="1952" t="s">
        <v>242</v>
      </c>
      <c r="D27" s="1954" t="s">
        <v>656</v>
      </c>
      <c r="E27" s="1948" t="s">
        <v>657</v>
      </c>
      <c r="F27" s="1956" t="s">
        <v>658</v>
      </c>
      <c r="G27" s="1957"/>
      <c r="H27" s="1957" t="s">
        <v>659</v>
      </c>
      <c r="I27" s="1957"/>
      <c r="J27" s="1957" t="s">
        <v>660</v>
      </c>
      <c r="K27" s="1958"/>
      <c r="L27" s="1956" t="s">
        <v>299</v>
      </c>
      <c r="M27" s="1957"/>
      <c r="N27" s="1957"/>
      <c r="O27" s="1957" t="s">
        <v>661</v>
      </c>
      <c r="P27" s="1957"/>
      <c r="Q27" s="1957" t="s">
        <v>635</v>
      </c>
      <c r="R27" s="1958"/>
      <c r="S27" s="1950" t="s">
        <v>292</v>
      </c>
      <c r="T27" s="1952" t="s">
        <v>242</v>
      </c>
      <c r="U27" s="1948" t="s">
        <v>656</v>
      </c>
      <c r="V27" s="1960"/>
      <c r="W27" s="1952"/>
      <c r="X27" s="1954"/>
      <c r="Y27" s="1948"/>
    </row>
    <row r="28" spans="1:30" ht="35.25" customHeight="1" thickBot="1">
      <c r="A28" s="1966"/>
      <c r="B28" s="1951"/>
      <c r="C28" s="1953"/>
      <c r="D28" s="1955"/>
      <c r="E28" s="1949"/>
      <c r="F28" s="1560" t="s">
        <v>662</v>
      </c>
      <c r="G28" s="1561" t="s">
        <v>242</v>
      </c>
      <c r="H28" s="1562" t="s">
        <v>662</v>
      </c>
      <c r="I28" s="1561" t="s">
        <v>242</v>
      </c>
      <c r="J28" s="1562" t="s">
        <v>662</v>
      </c>
      <c r="K28" s="1563" t="s">
        <v>242</v>
      </c>
      <c r="L28" s="1560" t="s">
        <v>662</v>
      </c>
      <c r="M28" s="1561" t="s">
        <v>663</v>
      </c>
      <c r="N28" s="1561" t="s">
        <v>242</v>
      </c>
      <c r="O28" s="1562" t="s">
        <v>662</v>
      </c>
      <c r="P28" s="1561" t="s">
        <v>242</v>
      </c>
      <c r="Q28" s="1562" t="s">
        <v>662</v>
      </c>
      <c r="R28" s="1563" t="s">
        <v>242</v>
      </c>
      <c r="S28" s="1951"/>
      <c r="T28" s="1953"/>
      <c r="U28" s="1949"/>
      <c r="V28" s="1961"/>
      <c r="W28" s="1953"/>
      <c r="X28" s="1955"/>
      <c r="Y28" s="1949"/>
    </row>
    <row r="29" spans="1:30" ht="11.25" customHeight="1" thickBot="1">
      <c r="A29" s="1564" t="s">
        <v>305</v>
      </c>
      <c r="B29" s="1612">
        <v>1</v>
      </c>
      <c r="C29" s="1613">
        <v>2</v>
      </c>
      <c r="D29" s="1613">
        <v>3</v>
      </c>
      <c r="E29" s="1614">
        <v>4</v>
      </c>
      <c r="F29" s="1565">
        <v>5</v>
      </c>
      <c r="G29" s="1566">
        <v>6</v>
      </c>
      <c r="H29" s="1566">
        <v>7</v>
      </c>
      <c r="I29" s="1566">
        <v>8</v>
      </c>
      <c r="J29" s="1566">
        <v>9</v>
      </c>
      <c r="K29" s="1567">
        <v>10</v>
      </c>
      <c r="L29" s="1565">
        <v>11</v>
      </c>
      <c r="M29" s="1566">
        <v>12</v>
      </c>
      <c r="N29" s="1566">
        <v>13</v>
      </c>
      <c r="O29" s="1566">
        <v>14</v>
      </c>
      <c r="P29" s="1566">
        <v>15</v>
      </c>
      <c r="Q29" s="1566">
        <v>16</v>
      </c>
      <c r="R29" s="1567">
        <v>17</v>
      </c>
      <c r="S29" s="1565">
        <v>18</v>
      </c>
      <c r="T29" s="1566">
        <v>19</v>
      </c>
      <c r="U29" s="1567">
        <v>20</v>
      </c>
      <c r="V29" s="1568">
        <v>21</v>
      </c>
      <c r="W29" s="1566">
        <v>22</v>
      </c>
      <c r="X29" s="1566">
        <v>23</v>
      </c>
      <c r="Y29" s="1567">
        <v>24</v>
      </c>
    </row>
    <row r="30" spans="1:30" ht="11.25" customHeight="1">
      <c r="A30" s="1615" t="s">
        <v>580</v>
      </c>
      <c r="B30" s="1616">
        <f>S10</f>
        <v>0</v>
      </c>
      <c r="C30" s="1617">
        <f t="shared" ref="C30:D42" si="15">T10</f>
        <v>0</v>
      </c>
      <c r="D30" s="1618">
        <f t="shared" si="15"/>
        <v>460</v>
      </c>
      <c r="E30" s="1619">
        <f>B30*43</f>
        <v>0</v>
      </c>
      <c r="F30" s="1581"/>
      <c r="G30" s="1574"/>
      <c r="H30" s="1575"/>
      <c r="I30" s="1575"/>
      <c r="J30" s="1575"/>
      <c r="K30" s="1576"/>
      <c r="L30" s="1577"/>
      <c r="M30" s="1620"/>
      <c r="N30" s="2398">
        <f t="shared" ref="N30:N31" si="16">M30*L30/1000</f>
        <v>0</v>
      </c>
      <c r="O30" s="1620"/>
      <c r="P30" s="1572"/>
      <c r="Q30" s="1572"/>
      <c r="R30" s="1579"/>
      <c r="S30" s="1580">
        <f t="shared" ref="S30:S40" si="17">B30+F30+H30+J30-L30-O30-Q30</f>
        <v>0</v>
      </c>
      <c r="T30" s="1571">
        <f>S30*D30/1000</f>
        <v>0</v>
      </c>
      <c r="U30" s="1573">
        <f>D30</f>
        <v>460</v>
      </c>
      <c r="V30" s="1621">
        <f t="shared" ref="V30:V33" si="18">Y30/365</f>
        <v>0</v>
      </c>
      <c r="W30" s="1578"/>
      <c r="X30" s="2392"/>
      <c r="Y30" s="1582"/>
      <c r="AA30" s="1698">
        <f t="shared" ref="AA30:AA31" si="19">B30*365+F30*280-L30*305</f>
        <v>0</v>
      </c>
    </row>
    <row r="31" spans="1:30" ht="11.25" customHeight="1">
      <c r="A31" s="1622" t="s">
        <v>581</v>
      </c>
      <c r="B31" s="1595">
        <f t="shared" ref="B31:B42" si="20">S11</f>
        <v>0</v>
      </c>
      <c r="C31" s="1585">
        <f t="shared" si="15"/>
        <v>0</v>
      </c>
      <c r="D31" s="1592">
        <f t="shared" ref="D31:D40" si="21">U11</f>
        <v>480</v>
      </c>
      <c r="E31" s="1587">
        <f>C31*43</f>
        <v>0</v>
      </c>
      <c r="F31" s="1596"/>
      <c r="G31" s="1588"/>
      <c r="H31" s="1589"/>
      <c r="I31" s="1589"/>
      <c r="J31" s="1589"/>
      <c r="K31" s="1590"/>
      <c r="L31" s="1591"/>
      <c r="M31" s="1586"/>
      <c r="N31" s="2398">
        <f t="shared" si="16"/>
        <v>0</v>
      </c>
      <c r="O31" s="2366"/>
      <c r="P31" s="1586"/>
      <c r="Q31" s="1586"/>
      <c r="R31" s="1594"/>
      <c r="S31" s="1595">
        <f t="shared" si="17"/>
        <v>0</v>
      </c>
      <c r="T31" s="1585">
        <f t="shared" ref="T31:T40" si="22">S31*D31/1000</f>
        <v>0</v>
      </c>
      <c r="U31" s="1587">
        <f t="shared" ref="U31:U40" si="23">D31</f>
        <v>480</v>
      </c>
      <c r="V31" s="1623">
        <f t="shared" si="18"/>
        <v>0</v>
      </c>
      <c r="W31" s="1593"/>
      <c r="X31" s="2392"/>
      <c r="Y31" s="1582"/>
      <c r="AA31" s="1698">
        <f t="shared" si="19"/>
        <v>0</v>
      </c>
    </row>
    <row r="32" spans="1:30" ht="11.25" customHeight="1">
      <c r="A32" s="1622" t="s">
        <v>582</v>
      </c>
      <c r="B32" s="1595">
        <f t="shared" si="20"/>
        <v>0</v>
      </c>
      <c r="C32" s="1585">
        <f t="shared" si="15"/>
        <v>0</v>
      </c>
      <c r="D32" s="1592">
        <f t="shared" si="21"/>
        <v>430</v>
      </c>
      <c r="E32" s="1587">
        <f>B32*36</f>
        <v>0</v>
      </c>
      <c r="F32" s="1624">
        <f>O36</f>
        <v>0</v>
      </c>
      <c r="G32" s="2393">
        <f>P36</f>
        <v>0</v>
      </c>
      <c r="H32" s="1589"/>
      <c r="I32" s="1589"/>
      <c r="J32" s="1589"/>
      <c r="K32" s="1590"/>
      <c r="L32" s="1591"/>
      <c r="M32" s="1586"/>
      <c r="N32" s="2398">
        <f>M32*L32/1000</f>
        <v>0</v>
      </c>
      <c r="O32" s="1586"/>
      <c r="P32" s="1586"/>
      <c r="Q32" s="1586"/>
      <c r="R32" s="1594"/>
      <c r="S32" s="1595">
        <f t="shared" si="17"/>
        <v>0</v>
      </c>
      <c r="T32" s="1585">
        <f t="shared" si="22"/>
        <v>0</v>
      </c>
      <c r="U32" s="1587">
        <f t="shared" si="23"/>
        <v>430</v>
      </c>
      <c r="V32" s="1623">
        <f t="shared" si="18"/>
        <v>0</v>
      </c>
      <c r="W32" s="1593"/>
      <c r="X32" s="2392"/>
      <c r="Y32" s="1582"/>
      <c r="AA32" s="1698">
        <f>B32*365+F32*280-L32*305</f>
        <v>0</v>
      </c>
    </row>
    <row r="33" spans="1:27" ht="11.25" customHeight="1">
      <c r="A33" s="1622" t="s">
        <v>583</v>
      </c>
      <c r="B33" s="1595">
        <f t="shared" si="20"/>
        <v>0</v>
      </c>
      <c r="C33" s="1585">
        <f t="shared" si="15"/>
        <v>0</v>
      </c>
      <c r="D33" s="1592">
        <f t="shared" si="21"/>
        <v>0</v>
      </c>
      <c r="E33" s="1587"/>
      <c r="F33" s="2387">
        <f>O30+O31+O32</f>
        <v>0</v>
      </c>
      <c r="G33" s="2394">
        <f>P30+P31+P32</f>
        <v>0</v>
      </c>
      <c r="H33" s="1589"/>
      <c r="I33" s="1589"/>
      <c r="J33" s="1589"/>
      <c r="K33" s="1590"/>
      <c r="L33" s="1591"/>
      <c r="M33" s="1586"/>
      <c r="N33" s="2398">
        <f t="shared" ref="N33:N40" si="24">M33*L33/1000</f>
        <v>0</v>
      </c>
      <c r="O33" s="1593"/>
      <c r="P33" s="1593"/>
      <c r="Q33" s="1586"/>
      <c r="R33" s="1594"/>
      <c r="S33" s="1595">
        <f t="shared" si="17"/>
        <v>0</v>
      </c>
      <c r="T33" s="1585">
        <f t="shared" si="22"/>
        <v>0</v>
      </c>
      <c r="U33" s="1587">
        <f t="shared" si="23"/>
        <v>0</v>
      </c>
      <c r="V33" s="1623">
        <f t="shared" si="18"/>
        <v>0</v>
      </c>
      <c r="W33" s="1585">
        <f>T33+R33+P33+N33-K33-I33-G33-C33</f>
        <v>0</v>
      </c>
      <c r="X33" s="1692" t="e">
        <f t="shared" ref="X30:X40" si="25">W33*10^6/Y33</f>
        <v>#DIV/0!</v>
      </c>
      <c r="Y33" s="1582"/>
      <c r="AA33" s="1698">
        <f>B33*365+F33*280</f>
        <v>0</v>
      </c>
    </row>
    <row r="34" spans="1:27" ht="11.25" customHeight="1">
      <c r="A34" s="1625" t="s">
        <v>584</v>
      </c>
      <c r="B34" s="1595">
        <f t="shared" si="20"/>
        <v>0</v>
      </c>
      <c r="C34" s="1585">
        <f t="shared" si="15"/>
        <v>0</v>
      </c>
      <c r="D34" s="1592">
        <f t="shared" si="21"/>
        <v>450</v>
      </c>
      <c r="E34" s="1587">
        <f>C34*64</f>
        <v>0</v>
      </c>
      <c r="F34" s="1624">
        <f>O35</f>
        <v>0</v>
      </c>
      <c r="G34" s="2393">
        <f>P35</f>
        <v>0</v>
      </c>
      <c r="H34" s="1589"/>
      <c r="I34" s="1589"/>
      <c r="J34" s="1589"/>
      <c r="K34" s="1590"/>
      <c r="L34" s="1591"/>
      <c r="M34" s="1586"/>
      <c r="N34" s="2398">
        <f t="shared" si="24"/>
        <v>0</v>
      </c>
      <c r="O34" s="1592">
        <f t="shared" ref="O34:O40" si="26">B34-L34-Q34</f>
        <v>0</v>
      </c>
      <c r="P34" s="1586"/>
      <c r="Q34" s="1586"/>
      <c r="R34" s="1594"/>
      <c r="S34" s="1595">
        <f t="shared" si="17"/>
        <v>0</v>
      </c>
      <c r="T34" s="1585">
        <f t="shared" si="22"/>
        <v>0</v>
      </c>
      <c r="U34" s="1587">
        <f t="shared" si="23"/>
        <v>450</v>
      </c>
      <c r="V34" s="1623">
        <f t="shared" ref="V34:V40" si="27">Y34/365</f>
        <v>0</v>
      </c>
      <c r="W34" s="1585">
        <f t="shared" ref="W34:W40" si="28">T34+R34+P34+N34-K34-I34-G34-C34</f>
        <v>0</v>
      </c>
      <c r="X34" s="1692" t="e">
        <f t="shared" si="25"/>
        <v>#DIV/0!</v>
      </c>
      <c r="Y34" s="1582"/>
      <c r="AA34" s="1698">
        <f>B34*365+F34*30-L34*60</f>
        <v>0</v>
      </c>
    </row>
    <row r="35" spans="1:27" ht="11.25" customHeight="1">
      <c r="A35" s="1625" t="s">
        <v>585</v>
      </c>
      <c r="B35" s="1595">
        <f t="shared" si="20"/>
        <v>0</v>
      </c>
      <c r="C35" s="1585">
        <f t="shared" si="15"/>
        <v>0</v>
      </c>
      <c r="D35" s="1592">
        <f t="shared" si="21"/>
        <v>410</v>
      </c>
      <c r="E35" s="1587">
        <f t="shared" ref="E35:E40" si="29">C35*64</f>
        <v>0</v>
      </c>
      <c r="F35" s="1624">
        <f t="shared" ref="F35:G40" si="30">O37</f>
        <v>0</v>
      </c>
      <c r="G35" s="2393">
        <f t="shared" si="30"/>
        <v>0</v>
      </c>
      <c r="H35" s="1589"/>
      <c r="I35" s="1589"/>
      <c r="J35" s="1589"/>
      <c r="K35" s="1590"/>
      <c r="L35" s="1591"/>
      <c r="M35" s="1586"/>
      <c r="N35" s="2398">
        <f t="shared" si="24"/>
        <v>0</v>
      </c>
      <c r="O35" s="1592">
        <f t="shared" si="26"/>
        <v>0</v>
      </c>
      <c r="P35" s="1585">
        <f>O35*D34/1000</f>
        <v>0</v>
      </c>
      <c r="Q35" s="1586"/>
      <c r="R35" s="1594"/>
      <c r="S35" s="1595">
        <f t="shared" si="17"/>
        <v>0</v>
      </c>
      <c r="T35" s="1585">
        <f t="shared" si="22"/>
        <v>0</v>
      </c>
      <c r="U35" s="1587">
        <f t="shared" si="23"/>
        <v>410</v>
      </c>
      <c r="V35" s="1623">
        <f t="shared" si="27"/>
        <v>0</v>
      </c>
      <c r="W35" s="1585">
        <f t="shared" si="28"/>
        <v>0</v>
      </c>
      <c r="X35" s="1692" t="e">
        <f t="shared" si="25"/>
        <v>#DIV/0!</v>
      </c>
      <c r="Y35" s="1582"/>
      <c r="AA35" s="1698">
        <f>B35*365+F35*30-L35*60-O35*30</f>
        <v>0</v>
      </c>
    </row>
    <row r="36" spans="1:27" ht="11.25" customHeight="1">
      <c r="A36" s="1625" t="s">
        <v>586</v>
      </c>
      <c r="B36" s="1595">
        <f t="shared" si="20"/>
        <v>0</v>
      </c>
      <c r="C36" s="1585">
        <f t="shared" si="15"/>
        <v>0</v>
      </c>
      <c r="D36" s="1592">
        <f t="shared" si="21"/>
        <v>380</v>
      </c>
      <c r="E36" s="1587">
        <f t="shared" si="29"/>
        <v>0</v>
      </c>
      <c r="F36" s="1624">
        <f t="shared" si="30"/>
        <v>0</v>
      </c>
      <c r="G36" s="2393">
        <f t="shared" si="30"/>
        <v>0</v>
      </c>
      <c r="H36" s="1589"/>
      <c r="I36" s="1589"/>
      <c r="J36" s="1589"/>
      <c r="K36" s="1590"/>
      <c r="L36" s="1591"/>
      <c r="M36" s="1586"/>
      <c r="N36" s="2398">
        <f>M36*L36/1000</f>
        <v>0</v>
      </c>
      <c r="O36" s="1592">
        <f t="shared" si="26"/>
        <v>0</v>
      </c>
      <c r="P36" s="1585">
        <f>O36*D32/1000</f>
        <v>0</v>
      </c>
      <c r="Q36" s="1586"/>
      <c r="R36" s="1594"/>
      <c r="S36" s="1595">
        <f t="shared" si="17"/>
        <v>0</v>
      </c>
      <c r="T36" s="1585">
        <f t="shared" si="22"/>
        <v>0</v>
      </c>
      <c r="U36" s="1587">
        <f t="shared" si="23"/>
        <v>380</v>
      </c>
      <c r="V36" s="1623">
        <f t="shared" si="27"/>
        <v>0</v>
      </c>
      <c r="W36" s="1585">
        <f t="shared" si="28"/>
        <v>0</v>
      </c>
      <c r="X36" s="1692" t="e">
        <f>W36*10^6/Y36</f>
        <v>#DIV/0!</v>
      </c>
      <c r="Y36" s="1582"/>
      <c r="AA36" s="1698">
        <f t="shared" ref="AA36:AA40" si="31">B36*365+F36*30-L36*60-O36*30</f>
        <v>0</v>
      </c>
    </row>
    <row r="37" spans="1:27" ht="11.25" customHeight="1">
      <c r="A37" s="1625" t="s">
        <v>587</v>
      </c>
      <c r="B37" s="1595">
        <f t="shared" si="20"/>
        <v>0</v>
      </c>
      <c r="C37" s="1585">
        <f t="shared" si="15"/>
        <v>0</v>
      </c>
      <c r="D37" s="1592">
        <f t="shared" si="21"/>
        <v>350</v>
      </c>
      <c r="E37" s="1587">
        <f t="shared" si="29"/>
        <v>0</v>
      </c>
      <c r="F37" s="1624">
        <f t="shared" si="30"/>
        <v>0</v>
      </c>
      <c r="G37" s="2393">
        <f t="shared" si="30"/>
        <v>0</v>
      </c>
      <c r="H37" s="1589"/>
      <c r="I37" s="1589"/>
      <c r="J37" s="1589"/>
      <c r="K37" s="1590"/>
      <c r="L37" s="1591"/>
      <c r="M37" s="1586"/>
      <c r="N37" s="2398">
        <f t="shared" si="24"/>
        <v>0</v>
      </c>
      <c r="O37" s="1592">
        <f t="shared" si="26"/>
        <v>0</v>
      </c>
      <c r="P37" s="1585">
        <f>O37*D35/1000</f>
        <v>0</v>
      </c>
      <c r="Q37" s="1586"/>
      <c r="R37" s="1594"/>
      <c r="S37" s="1595">
        <f t="shared" si="17"/>
        <v>0</v>
      </c>
      <c r="T37" s="1585">
        <f t="shared" si="22"/>
        <v>0</v>
      </c>
      <c r="U37" s="1587">
        <f t="shared" si="23"/>
        <v>350</v>
      </c>
      <c r="V37" s="1623">
        <f t="shared" si="27"/>
        <v>0</v>
      </c>
      <c r="W37" s="1585">
        <f t="shared" si="28"/>
        <v>0</v>
      </c>
      <c r="X37" s="1692" t="e">
        <f t="shared" si="25"/>
        <v>#DIV/0!</v>
      </c>
      <c r="Y37" s="1582"/>
      <c r="AA37" s="1698">
        <f t="shared" si="31"/>
        <v>0</v>
      </c>
    </row>
    <row r="38" spans="1:27" ht="11.25" customHeight="1">
      <c r="A38" s="1625" t="s">
        <v>588</v>
      </c>
      <c r="B38" s="1595">
        <f t="shared" si="20"/>
        <v>0</v>
      </c>
      <c r="C38" s="1585">
        <f t="shared" si="15"/>
        <v>0</v>
      </c>
      <c r="D38" s="1592">
        <f t="shared" si="21"/>
        <v>320</v>
      </c>
      <c r="E38" s="1587">
        <f t="shared" si="29"/>
        <v>0</v>
      </c>
      <c r="F38" s="1624">
        <f t="shared" si="30"/>
        <v>0</v>
      </c>
      <c r="G38" s="2393">
        <f t="shared" si="30"/>
        <v>0</v>
      </c>
      <c r="H38" s="1589"/>
      <c r="I38" s="1589"/>
      <c r="J38" s="1589"/>
      <c r="K38" s="1590"/>
      <c r="L38" s="1591"/>
      <c r="M38" s="1586"/>
      <c r="N38" s="2398">
        <f t="shared" si="24"/>
        <v>0</v>
      </c>
      <c r="O38" s="1592">
        <f t="shared" si="26"/>
        <v>0</v>
      </c>
      <c r="P38" s="1585">
        <f>O38*D36/1000</f>
        <v>0</v>
      </c>
      <c r="Q38" s="1586"/>
      <c r="R38" s="1594"/>
      <c r="S38" s="1595">
        <f t="shared" si="17"/>
        <v>0</v>
      </c>
      <c r="T38" s="1585">
        <f t="shared" si="22"/>
        <v>0</v>
      </c>
      <c r="U38" s="1587">
        <f t="shared" si="23"/>
        <v>320</v>
      </c>
      <c r="V38" s="1623">
        <f t="shared" si="27"/>
        <v>0</v>
      </c>
      <c r="W38" s="1585">
        <f t="shared" si="28"/>
        <v>0</v>
      </c>
      <c r="X38" s="1692" t="e">
        <f t="shared" si="25"/>
        <v>#DIV/0!</v>
      </c>
      <c r="Y38" s="1582"/>
      <c r="AA38" s="1698">
        <f t="shared" si="31"/>
        <v>0</v>
      </c>
    </row>
    <row r="39" spans="1:27" ht="11.25" customHeight="1">
      <c r="A39" s="1625" t="s">
        <v>589</v>
      </c>
      <c r="B39" s="1595">
        <f t="shared" si="20"/>
        <v>0</v>
      </c>
      <c r="C39" s="1585">
        <f t="shared" si="15"/>
        <v>0</v>
      </c>
      <c r="D39" s="1592">
        <f t="shared" si="21"/>
        <v>210</v>
      </c>
      <c r="E39" s="1587">
        <f t="shared" si="29"/>
        <v>0</v>
      </c>
      <c r="F39" s="1624">
        <f t="shared" si="30"/>
        <v>0</v>
      </c>
      <c r="G39" s="2393">
        <f t="shared" si="30"/>
        <v>0</v>
      </c>
      <c r="H39" s="1589"/>
      <c r="I39" s="1589"/>
      <c r="J39" s="1589"/>
      <c r="K39" s="1590"/>
      <c r="L39" s="1591"/>
      <c r="M39" s="1586"/>
      <c r="N39" s="2398">
        <f t="shared" si="24"/>
        <v>0</v>
      </c>
      <c r="O39" s="1592">
        <f t="shared" si="26"/>
        <v>0</v>
      </c>
      <c r="P39" s="1585">
        <f>O39*D37/1000</f>
        <v>0</v>
      </c>
      <c r="Q39" s="1586"/>
      <c r="R39" s="1594"/>
      <c r="S39" s="1595">
        <f t="shared" si="17"/>
        <v>0</v>
      </c>
      <c r="T39" s="1585">
        <f t="shared" si="22"/>
        <v>0</v>
      </c>
      <c r="U39" s="1587">
        <f t="shared" si="23"/>
        <v>210</v>
      </c>
      <c r="V39" s="1623">
        <f t="shared" si="27"/>
        <v>0</v>
      </c>
      <c r="W39" s="1585">
        <f t="shared" si="28"/>
        <v>0</v>
      </c>
      <c r="X39" s="1692" t="e">
        <f t="shared" si="25"/>
        <v>#DIV/0!</v>
      </c>
      <c r="Y39" s="1582"/>
      <c r="AA39" s="1698">
        <f t="shared" si="31"/>
        <v>0</v>
      </c>
    </row>
    <row r="40" spans="1:27" ht="11.25" customHeight="1">
      <c r="A40" s="1625" t="s">
        <v>590</v>
      </c>
      <c r="B40" s="1595">
        <f t="shared" si="20"/>
        <v>0</v>
      </c>
      <c r="C40" s="1585">
        <f t="shared" si="15"/>
        <v>0</v>
      </c>
      <c r="D40" s="1592">
        <f t="shared" si="21"/>
        <v>210</v>
      </c>
      <c r="E40" s="1587">
        <f t="shared" si="29"/>
        <v>0</v>
      </c>
      <c r="F40" s="1624">
        <f t="shared" si="30"/>
        <v>0</v>
      </c>
      <c r="G40" s="2393">
        <f t="shared" si="30"/>
        <v>0</v>
      </c>
      <c r="H40" s="1589"/>
      <c r="I40" s="1589"/>
      <c r="J40" s="1589"/>
      <c r="K40" s="1590"/>
      <c r="L40" s="1591"/>
      <c r="M40" s="1586"/>
      <c r="N40" s="2398">
        <f t="shared" si="24"/>
        <v>0</v>
      </c>
      <c r="O40" s="1592">
        <f t="shared" si="26"/>
        <v>0</v>
      </c>
      <c r="P40" s="1585">
        <f>O40*D38/1000</f>
        <v>0</v>
      </c>
      <c r="Q40" s="1586"/>
      <c r="R40" s="1594"/>
      <c r="S40" s="1595">
        <f t="shared" si="17"/>
        <v>0</v>
      </c>
      <c r="T40" s="1585">
        <f t="shared" si="22"/>
        <v>0</v>
      </c>
      <c r="U40" s="1587">
        <f t="shared" si="23"/>
        <v>210</v>
      </c>
      <c r="V40" s="1623">
        <f t="shared" si="27"/>
        <v>0</v>
      </c>
      <c r="W40" s="1585">
        <f t="shared" si="28"/>
        <v>0</v>
      </c>
      <c r="X40" s="1692" t="e">
        <f t="shared" si="25"/>
        <v>#DIV/0!</v>
      </c>
      <c r="Y40" s="1582"/>
      <c r="AA40" s="1698">
        <f t="shared" si="31"/>
        <v>0</v>
      </c>
    </row>
    <row r="41" spans="1:27" ht="11.25" customHeight="1">
      <c r="A41" s="1625" t="s">
        <v>591</v>
      </c>
      <c r="B41" s="1595">
        <f t="shared" si="20"/>
        <v>0</v>
      </c>
      <c r="C41" s="1585">
        <f t="shared" si="15"/>
        <v>0</v>
      </c>
      <c r="D41" s="1592">
        <v>25</v>
      </c>
      <c r="E41" s="1587"/>
      <c r="F41" s="1624">
        <f>INT(C4%*B32/2)</f>
        <v>0</v>
      </c>
      <c r="G41" s="2393">
        <f>D41*F41/1000</f>
        <v>0</v>
      </c>
      <c r="H41" s="1589"/>
      <c r="I41" s="1589"/>
      <c r="J41" s="1589"/>
      <c r="K41" s="1590"/>
      <c r="L41" s="1591"/>
      <c r="M41" s="1586"/>
      <c r="N41" s="2398">
        <f>M41*L41/1000</f>
        <v>0</v>
      </c>
      <c r="O41" s="1592">
        <f t="shared" ref="O41:O42" si="32">F41-L41-Q41</f>
        <v>0</v>
      </c>
      <c r="P41" s="1585">
        <f>O41*210/1000</f>
        <v>0</v>
      </c>
      <c r="Q41" s="1586"/>
      <c r="R41" s="1594"/>
      <c r="S41" s="1595">
        <f>B41+F41+H41+J41-L41-O41-Q41</f>
        <v>0</v>
      </c>
      <c r="T41" s="1585">
        <v>0</v>
      </c>
      <c r="U41" s="1587">
        <v>0</v>
      </c>
      <c r="V41" s="1623">
        <f>Y41/365</f>
        <v>0</v>
      </c>
      <c r="W41" s="1585">
        <f>T41+R41+P41+N41-K41-I41-G41-C41</f>
        <v>0</v>
      </c>
      <c r="X41" s="1692" t="e">
        <f>W41*10^6/Y41</f>
        <v>#DIV/0!</v>
      </c>
      <c r="Y41" s="1582"/>
      <c r="AA41" s="1698">
        <f>F41*280-L41*60-O41*30</f>
        <v>0</v>
      </c>
    </row>
    <row r="42" spans="1:27" ht="11.25" customHeight="1" thickBot="1">
      <c r="A42" s="1626" t="s">
        <v>592</v>
      </c>
      <c r="B42" s="1627">
        <f t="shared" si="20"/>
        <v>0</v>
      </c>
      <c r="C42" s="1628">
        <f t="shared" si="15"/>
        <v>0</v>
      </c>
      <c r="D42" s="1629">
        <v>25</v>
      </c>
      <c r="E42" s="1630"/>
      <c r="F42" s="1624">
        <f>INT(C4%*B32/2)</f>
        <v>0</v>
      </c>
      <c r="G42" s="2395">
        <f>D42*F42/1000</f>
        <v>0</v>
      </c>
      <c r="H42" s="1605"/>
      <c r="I42" s="1605"/>
      <c r="J42" s="1605"/>
      <c r="K42" s="1606"/>
      <c r="L42" s="1607"/>
      <c r="M42" s="1602"/>
      <c r="N42" s="2399">
        <f>M42*L42/1000</f>
        <v>0</v>
      </c>
      <c r="O42" s="1608">
        <f t="shared" si="32"/>
        <v>0</v>
      </c>
      <c r="P42" s="2401">
        <f>O42*210/1000</f>
        <v>0</v>
      </c>
      <c r="Q42" s="1602"/>
      <c r="R42" s="1609"/>
      <c r="S42" s="1604">
        <f>B42+F42+H42+J42-L42-O42-Q42</f>
        <v>0</v>
      </c>
      <c r="T42" s="2401">
        <v>0</v>
      </c>
      <c r="U42" s="1603">
        <v>0</v>
      </c>
      <c r="V42" s="2396">
        <f>Y42/365</f>
        <v>0</v>
      </c>
      <c r="W42" s="2401">
        <f>T42+R42+P42+N42-K42-I42-G42-C42</f>
        <v>0</v>
      </c>
      <c r="X42" s="1693" t="e">
        <f>W42*10^6/Y42</f>
        <v>#DIV/0!</v>
      </c>
      <c r="Y42" s="1582"/>
      <c r="AA42" s="1698">
        <f>F42*280-L42*60-O42*30</f>
        <v>0</v>
      </c>
    </row>
    <row r="43" spans="1:27" ht="11.25" customHeight="1" thickBot="1">
      <c r="A43" s="2375" t="s">
        <v>238</v>
      </c>
      <c r="B43" s="2382">
        <f>SUM(B30:B42)</f>
        <v>0</v>
      </c>
      <c r="C43" s="2383">
        <f>SUM(C30:C42)</f>
        <v>0</v>
      </c>
      <c r="D43" s="2384" t="s">
        <v>221</v>
      </c>
      <c r="E43" s="2385">
        <f>SUM(E30:E42)</f>
        <v>0</v>
      </c>
      <c r="F43" s="2376">
        <f t="shared" ref="F43:L43" si="33">SUM(F30:F42)</f>
        <v>0</v>
      </c>
      <c r="G43" s="2377">
        <f t="shared" si="33"/>
        <v>0</v>
      </c>
      <c r="H43" s="2377">
        <f t="shared" si="33"/>
        <v>0</v>
      </c>
      <c r="I43" s="2377">
        <f t="shared" si="33"/>
        <v>0</v>
      </c>
      <c r="J43" s="2377">
        <f t="shared" si="33"/>
        <v>0</v>
      </c>
      <c r="K43" s="2379">
        <f t="shared" si="33"/>
        <v>0</v>
      </c>
      <c r="L43" s="2376">
        <f t="shared" si="33"/>
        <v>0</v>
      </c>
      <c r="M43" s="2380" t="e">
        <f>N43/L43*1000</f>
        <v>#DIV/0!</v>
      </c>
      <c r="N43" s="2400">
        <f t="shared" ref="N43:T43" si="34">SUM(N30:N42)</f>
        <v>0</v>
      </c>
      <c r="O43" s="2377">
        <f t="shared" si="34"/>
        <v>0</v>
      </c>
      <c r="P43" s="2400">
        <f t="shared" si="34"/>
        <v>0</v>
      </c>
      <c r="Q43" s="2377">
        <f t="shared" si="34"/>
        <v>0</v>
      </c>
      <c r="R43" s="2379">
        <f t="shared" si="34"/>
        <v>0</v>
      </c>
      <c r="S43" s="2376">
        <f t="shared" si="34"/>
        <v>0</v>
      </c>
      <c r="T43" s="2400">
        <f t="shared" si="34"/>
        <v>0</v>
      </c>
      <c r="U43" s="2379" t="s">
        <v>221</v>
      </c>
      <c r="V43" s="2397">
        <f t="shared" ref="V43:W43" si="35">SUM(V30:V42)</f>
        <v>0</v>
      </c>
      <c r="W43" s="2400">
        <f t="shared" si="35"/>
        <v>0</v>
      </c>
      <c r="X43" s="2377" t="s">
        <v>221</v>
      </c>
      <c r="Y43" s="2381">
        <f t="shared" ref="Y43" si="36">SUM(Y30:Y42)</f>
        <v>0</v>
      </c>
    </row>
    <row r="44" spans="1:27" ht="7.5" customHeight="1"/>
    <row r="45" spans="1:27" ht="12.75" customHeight="1" thickBot="1">
      <c r="A45" s="1642" t="s">
        <v>666</v>
      </c>
    </row>
    <row r="46" spans="1:27" ht="12" customHeight="1">
      <c r="A46" s="1964" t="s">
        <v>284</v>
      </c>
      <c r="B46" s="1967" t="s">
        <v>285</v>
      </c>
      <c r="C46" s="1968"/>
      <c r="D46" s="1968"/>
      <c r="E46" s="1969"/>
      <c r="F46" s="1967" t="s">
        <v>245</v>
      </c>
      <c r="G46" s="1968"/>
      <c r="H46" s="1968"/>
      <c r="I46" s="1968"/>
      <c r="J46" s="1968"/>
      <c r="K46" s="1969"/>
      <c r="L46" s="1967" t="s">
        <v>250</v>
      </c>
      <c r="M46" s="1968"/>
      <c r="N46" s="1968"/>
      <c r="O46" s="1968"/>
      <c r="P46" s="1968"/>
      <c r="Q46" s="1968"/>
      <c r="R46" s="1969"/>
      <c r="S46" s="1967" t="s">
        <v>653</v>
      </c>
      <c r="T46" s="1968"/>
      <c r="U46" s="1969"/>
      <c r="V46" s="1959" t="s">
        <v>654</v>
      </c>
      <c r="W46" s="1962" t="s">
        <v>655</v>
      </c>
      <c r="X46" s="1963" t="s">
        <v>637</v>
      </c>
      <c r="Y46" s="1947" t="s">
        <v>256</v>
      </c>
    </row>
    <row r="47" spans="1:27" ht="42" customHeight="1">
      <c r="A47" s="1965"/>
      <c r="B47" s="1950" t="s">
        <v>292</v>
      </c>
      <c r="C47" s="1952" t="s">
        <v>242</v>
      </c>
      <c r="D47" s="1954" t="s">
        <v>656</v>
      </c>
      <c r="E47" s="1948" t="s">
        <v>657</v>
      </c>
      <c r="F47" s="1956" t="s">
        <v>658</v>
      </c>
      <c r="G47" s="1957"/>
      <c r="H47" s="1957" t="s">
        <v>659</v>
      </c>
      <c r="I47" s="1957"/>
      <c r="J47" s="1957" t="s">
        <v>660</v>
      </c>
      <c r="K47" s="1958"/>
      <c r="L47" s="1956" t="s">
        <v>299</v>
      </c>
      <c r="M47" s="1957"/>
      <c r="N47" s="1957"/>
      <c r="O47" s="1957" t="s">
        <v>661</v>
      </c>
      <c r="P47" s="1957"/>
      <c r="Q47" s="1957" t="s">
        <v>635</v>
      </c>
      <c r="R47" s="1958"/>
      <c r="S47" s="1950" t="s">
        <v>292</v>
      </c>
      <c r="T47" s="1952" t="s">
        <v>242</v>
      </c>
      <c r="U47" s="1948" t="s">
        <v>656</v>
      </c>
      <c r="V47" s="1960"/>
      <c r="W47" s="1952"/>
      <c r="X47" s="1954"/>
      <c r="Y47" s="1948"/>
    </row>
    <row r="48" spans="1:27" ht="36.75" customHeight="1" thickBot="1">
      <c r="A48" s="1966"/>
      <c r="B48" s="1951"/>
      <c r="C48" s="1953"/>
      <c r="D48" s="1955"/>
      <c r="E48" s="1949"/>
      <c r="F48" s="1560" t="s">
        <v>662</v>
      </c>
      <c r="G48" s="1561" t="s">
        <v>242</v>
      </c>
      <c r="H48" s="1562" t="s">
        <v>662</v>
      </c>
      <c r="I48" s="1561" t="s">
        <v>242</v>
      </c>
      <c r="J48" s="1562" t="s">
        <v>662</v>
      </c>
      <c r="K48" s="1563" t="s">
        <v>242</v>
      </c>
      <c r="L48" s="1560" t="s">
        <v>662</v>
      </c>
      <c r="M48" s="1561" t="s">
        <v>663</v>
      </c>
      <c r="N48" s="1561" t="s">
        <v>242</v>
      </c>
      <c r="O48" s="1562" t="s">
        <v>662</v>
      </c>
      <c r="P48" s="1561" t="s">
        <v>242</v>
      </c>
      <c r="Q48" s="1562" t="s">
        <v>662</v>
      </c>
      <c r="R48" s="1563" t="s">
        <v>242</v>
      </c>
      <c r="S48" s="1951"/>
      <c r="T48" s="1953"/>
      <c r="U48" s="1949"/>
      <c r="V48" s="1961"/>
      <c r="W48" s="1953"/>
      <c r="X48" s="1955"/>
      <c r="Y48" s="1949"/>
    </row>
    <row r="49" spans="1:27" ht="9.75" customHeight="1" thickBot="1">
      <c r="A49" s="1564" t="s">
        <v>305</v>
      </c>
      <c r="B49" s="1612">
        <v>1</v>
      </c>
      <c r="C49" s="1613">
        <v>2</v>
      </c>
      <c r="D49" s="1613">
        <v>3</v>
      </c>
      <c r="E49" s="1614">
        <v>4</v>
      </c>
      <c r="F49" s="1565">
        <v>5</v>
      </c>
      <c r="G49" s="1566">
        <v>6</v>
      </c>
      <c r="H49" s="1566">
        <v>7</v>
      </c>
      <c r="I49" s="1566">
        <v>8</v>
      </c>
      <c r="J49" s="1566">
        <v>9</v>
      </c>
      <c r="K49" s="1567">
        <v>10</v>
      </c>
      <c r="L49" s="1565">
        <v>11</v>
      </c>
      <c r="M49" s="1566">
        <v>12</v>
      </c>
      <c r="N49" s="1566">
        <v>13</v>
      </c>
      <c r="O49" s="1566">
        <v>14</v>
      </c>
      <c r="P49" s="1566">
        <v>15</v>
      </c>
      <c r="Q49" s="1566">
        <v>16</v>
      </c>
      <c r="R49" s="1567">
        <v>17</v>
      </c>
      <c r="S49" s="1565">
        <v>18</v>
      </c>
      <c r="T49" s="1566">
        <v>19</v>
      </c>
      <c r="U49" s="1567">
        <v>20</v>
      </c>
      <c r="V49" s="1568">
        <v>21</v>
      </c>
      <c r="W49" s="1566">
        <v>22</v>
      </c>
      <c r="X49" s="1566">
        <v>23</v>
      </c>
      <c r="Y49" s="1567">
        <v>24</v>
      </c>
    </row>
    <row r="50" spans="1:27" ht="11.25" customHeight="1">
      <c r="A50" s="1615" t="s">
        <v>580</v>
      </c>
      <c r="B50" s="1616">
        <f>S30</f>
        <v>0</v>
      </c>
      <c r="C50" s="1617">
        <f t="shared" ref="C50:D62" si="37">T30</f>
        <v>0</v>
      </c>
      <c r="D50" s="1618">
        <f t="shared" si="37"/>
        <v>460</v>
      </c>
      <c r="E50" s="1619">
        <f>B50*43</f>
        <v>0</v>
      </c>
      <c r="F50" s="1581"/>
      <c r="G50" s="1574"/>
      <c r="H50" s="1575"/>
      <c r="I50" s="1575"/>
      <c r="J50" s="1575"/>
      <c r="K50" s="1576"/>
      <c r="L50" s="1577"/>
      <c r="M50" s="1620"/>
      <c r="N50" s="2398">
        <f t="shared" ref="N50:N51" si="38">M50*L50/1000</f>
        <v>0</v>
      </c>
      <c r="O50" s="1620"/>
      <c r="P50" s="1572"/>
      <c r="Q50" s="1572"/>
      <c r="R50" s="1579"/>
      <c r="S50" s="1580">
        <f>B50+F50+H50+J50-L50-O50-Q50</f>
        <v>0</v>
      </c>
      <c r="T50" s="1578">
        <f>S50*D50/1000</f>
        <v>0</v>
      </c>
      <c r="U50" s="1573">
        <f>D50</f>
        <v>460</v>
      </c>
      <c r="V50" s="1621">
        <f t="shared" ref="V50:V53" si="39">Y50/365</f>
        <v>0</v>
      </c>
      <c r="W50" s="1578"/>
      <c r="X50" s="2392"/>
      <c r="Y50" s="1582"/>
      <c r="AA50" s="1698">
        <f t="shared" ref="AA50:AA51" si="40">B50*365+F50*280-L50*305</f>
        <v>0</v>
      </c>
    </row>
    <row r="51" spans="1:27" ht="11.25" customHeight="1">
      <c r="A51" s="1622" t="s">
        <v>581</v>
      </c>
      <c r="B51" s="1595">
        <f t="shared" ref="B51:B62" si="41">S31</f>
        <v>0</v>
      </c>
      <c r="C51" s="1585">
        <f t="shared" si="37"/>
        <v>0</v>
      </c>
      <c r="D51" s="1592">
        <f t="shared" ref="D51:D60" si="42">U31</f>
        <v>480</v>
      </c>
      <c r="E51" s="1587">
        <f>C51*43</f>
        <v>0</v>
      </c>
      <c r="F51" s="1596"/>
      <c r="G51" s="1596"/>
      <c r="H51" s="1589"/>
      <c r="I51" s="1589"/>
      <c r="J51" s="1589"/>
      <c r="K51" s="1590"/>
      <c r="L51" s="1591"/>
      <c r="M51" s="1586"/>
      <c r="N51" s="2398">
        <f t="shared" si="38"/>
        <v>0</v>
      </c>
      <c r="O51" s="2366"/>
      <c r="P51" s="1586"/>
      <c r="Q51" s="1586"/>
      <c r="R51" s="1594"/>
      <c r="S51" s="1595">
        <f>B51+F51+H51+J51-L51-O51-Q51</f>
        <v>0</v>
      </c>
      <c r="T51" s="1593">
        <f t="shared" ref="T51:T60" si="43">S51*D51/1000</f>
        <v>0</v>
      </c>
      <c r="U51" s="1587">
        <f t="shared" ref="U51:U60" si="44">D51</f>
        <v>480</v>
      </c>
      <c r="V51" s="1623">
        <f t="shared" si="39"/>
        <v>0</v>
      </c>
      <c r="W51" s="1593"/>
      <c r="X51" s="2392"/>
      <c r="Y51" s="1597"/>
      <c r="AA51" s="1698">
        <f t="shared" si="40"/>
        <v>0</v>
      </c>
    </row>
    <row r="52" spans="1:27" ht="11.25" customHeight="1">
      <c r="A52" s="1622" t="s">
        <v>582</v>
      </c>
      <c r="B52" s="1595">
        <f t="shared" si="41"/>
        <v>0</v>
      </c>
      <c r="C52" s="1585">
        <f t="shared" si="37"/>
        <v>0</v>
      </c>
      <c r="D52" s="1592">
        <f t="shared" si="42"/>
        <v>430</v>
      </c>
      <c r="E52" s="1587">
        <f>B52*36</f>
        <v>0</v>
      </c>
      <c r="F52" s="1631">
        <f>O56</f>
        <v>0</v>
      </c>
      <c r="G52" s="2393">
        <f>P56</f>
        <v>0</v>
      </c>
      <c r="H52" s="1589"/>
      <c r="I52" s="1589"/>
      <c r="J52" s="1589"/>
      <c r="K52" s="1590"/>
      <c r="L52" s="1591"/>
      <c r="M52" s="1586"/>
      <c r="N52" s="2398">
        <f>M52*L52/1000</f>
        <v>0</v>
      </c>
      <c r="O52" s="1586"/>
      <c r="P52" s="1586"/>
      <c r="Q52" s="1586"/>
      <c r="R52" s="1594"/>
      <c r="S52" s="1595">
        <f t="shared" ref="S52:S60" si="45">B52+F52+H52+J52-L52-O52-Q52</f>
        <v>0</v>
      </c>
      <c r="T52" s="1593">
        <f t="shared" si="43"/>
        <v>0</v>
      </c>
      <c r="U52" s="1587">
        <f t="shared" si="44"/>
        <v>430</v>
      </c>
      <c r="V52" s="1623">
        <f>Y52/365</f>
        <v>0</v>
      </c>
      <c r="W52" s="1593"/>
      <c r="X52" s="2392"/>
      <c r="Y52" s="1597"/>
      <c r="AA52" s="1698">
        <f>B52*365+F52*280-L52*305</f>
        <v>0</v>
      </c>
    </row>
    <row r="53" spans="1:27" ht="11.25" customHeight="1">
      <c r="A53" s="1622" t="s">
        <v>583</v>
      </c>
      <c r="B53" s="1595">
        <f t="shared" si="41"/>
        <v>0</v>
      </c>
      <c r="C53" s="1585">
        <f t="shared" si="37"/>
        <v>0</v>
      </c>
      <c r="D53" s="1592">
        <f t="shared" si="42"/>
        <v>0</v>
      </c>
      <c r="E53" s="1587"/>
      <c r="F53" s="2387">
        <f>O50+O51+O52</f>
        <v>0</v>
      </c>
      <c r="G53" s="2394">
        <f>P50+P51+P52</f>
        <v>0</v>
      </c>
      <c r="H53" s="1589"/>
      <c r="I53" s="1589"/>
      <c r="J53" s="1589"/>
      <c r="K53" s="1590"/>
      <c r="L53" s="1591"/>
      <c r="M53" s="1586"/>
      <c r="N53" s="2398">
        <f t="shared" ref="N53:N60" si="46">M53*L53/1000</f>
        <v>0</v>
      </c>
      <c r="O53" s="1593"/>
      <c r="P53" s="1593"/>
      <c r="Q53" s="1586"/>
      <c r="R53" s="1594"/>
      <c r="S53" s="1595">
        <f t="shared" si="45"/>
        <v>0</v>
      </c>
      <c r="T53" s="1593">
        <f t="shared" si="43"/>
        <v>0</v>
      </c>
      <c r="U53" s="1587">
        <f t="shared" si="44"/>
        <v>0</v>
      </c>
      <c r="V53" s="1623">
        <f t="shared" ref="V53" si="47">Y53/365</f>
        <v>0</v>
      </c>
      <c r="W53" s="1585">
        <f>T53+R53+P53+N53-K53-I53-G53-C53</f>
        <v>0</v>
      </c>
      <c r="X53" s="1692" t="e">
        <f t="shared" ref="X51:X60" si="48">W53*10^6/Y53</f>
        <v>#DIV/0!</v>
      </c>
      <c r="Y53" s="1597"/>
      <c r="AA53" s="1698">
        <f>B53*365+F53*280</f>
        <v>0</v>
      </c>
    </row>
    <row r="54" spans="1:27" ht="11.25" customHeight="1">
      <c r="A54" s="1625" t="s">
        <v>584</v>
      </c>
      <c r="B54" s="1595">
        <f t="shared" si="41"/>
        <v>0</v>
      </c>
      <c r="C54" s="1585">
        <f t="shared" si="37"/>
        <v>0</v>
      </c>
      <c r="D54" s="1592">
        <f t="shared" si="42"/>
        <v>450</v>
      </c>
      <c r="E54" s="1587">
        <f>C54*64</f>
        <v>0</v>
      </c>
      <c r="F54" s="1631">
        <f>O55</f>
        <v>0</v>
      </c>
      <c r="G54" s="2393">
        <f>P55</f>
        <v>0</v>
      </c>
      <c r="H54" s="1589"/>
      <c r="I54" s="1589"/>
      <c r="J54" s="1589"/>
      <c r="K54" s="1590"/>
      <c r="L54" s="1591"/>
      <c r="M54" s="1586"/>
      <c r="N54" s="2398">
        <f t="shared" si="46"/>
        <v>0</v>
      </c>
      <c r="O54" s="1592">
        <f t="shared" ref="O54:O60" si="49">B54-L54-Q54</f>
        <v>0</v>
      </c>
      <c r="P54" s="1586"/>
      <c r="Q54" s="1586"/>
      <c r="R54" s="1594"/>
      <c r="S54" s="1595">
        <f t="shared" si="45"/>
        <v>0</v>
      </c>
      <c r="T54" s="1593">
        <f t="shared" si="43"/>
        <v>0</v>
      </c>
      <c r="U54" s="1587">
        <f t="shared" si="44"/>
        <v>450</v>
      </c>
      <c r="V54" s="1623">
        <f t="shared" ref="V54:V60" si="50">Y54/365</f>
        <v>0</v>
      </c>
      <c r="W54" s="1585">
        <f t="shared" ref="W54:W60" si="51">T54+R54+P54+N54-K54-I54-G54-C54</f>
        <v>0</v>
      </c>
      <c r="X54" s="1692" t="e">
        <f t="shared" si="48"/>
        <v>#DIV/0!</v>
      </c>
      <c r="Y54" s="1597"/>
      <c r="AA54" s="1698">
        <f>B54*365+F54*30-L54*60</f>
        <v>0</v>
      </c>
    </row>
    <row r="55" spans="1:27" ht="11.25" customHeight="1">
      <c r="A55" s="1625" t="s">
        <v>585</v>
      </c>
      <c r="B55" s="1595">
        <f t="shared" si="41"/>
        <v>0</v>
      </c>
      <c r="C55" s="1585">
        <f t="shared" si="37"/>
        <v>0</v>
      </c>
      <c r="D55" s="1592">
        <f t="shared" si="42"/>
        <v>410</v>
      </c>
      <c r="E55" s="1587">
        <f t="shared" ref="E55:E60" si="52">C55*64</f>
        <v>0</v>
      </c>
      <c r="F55" s="1631">
        <f t="shared" ref="F55:G60" si="53">O57</f>
        <v>0</v>
      </c>
      <c r="G55" s="2393">
        <f t="shared" si="53"/>
        <v>0</v>
      </c>
      <c r="H55" s="1589"/>
      <c r="I55" s="1589"/>
      <c r="J55" s="1589"/>
      <c r="K55" s="1590"/>
      <c r="L55" s="1591"/>
      <c r="M55" s="1586"/>
      <c r="N55" s="2398">
        <f t="shared" si="46"/>
        <v>0</v>
      </c>
      <c r="O55" s="1592">
        <f t="shared" si="49"/>
        <v>0</v>
      </c>
      <c r="P55" s="1585">
        <f>O55*D54/1000</f>
        <v>0</v>
      </c>
      <c r="Q55" s="1586"/>
      <c r="R55" s="1594"/>
      <c r="S55" s="1595">
        <f t="shared" si="45"/>
        <v>0</v>
      </c>
      <c r="T55" s="1593">
        <f t="shared" si="43"/>
        <v>0</v>
      </c>
      <c r="U55" s="1587">
        <f t="shared" si="44"/>
        <v>410</v>
      </c>
      <c r="V55" s="1623">
        <f t="shared" si="50"/>
        <v>0</v>
      </c>
      <c r="W55" s="1585">
        <f t="shared" si="51"/>
        <v>0</v>
      </c>
      <c r="X55" s="1692" t="e">
        <f t="shared" si="48"/>
        <v>#DIV/0!</v>
      </c>
      <c r="Y55" s="1597"/>
      <c r="AA55" s="1698">
        <f>B55*365+F55*30-L55*60-O55*30</f>
        <v>0</v>
      </c>
    </row>
    <row r="56" spans="1:27" ht="11.25" customHeight="1">
      <c r="A56" s="1625" t="s">
        <v>586</v>
      </c>
      <c r="B56" s="1595">
        <f t="shared" si="41"/>
        <v>0</v>
      </c>
      <c r="C56" s="1585">
        <f t="shared" si="37"/>
        <v>0</v>
      </c>
      <c r="D56" s="1592">
        <f t="shared" si="42"/>
        <v>380</v>
      </c>
      <c r="E56" s="1587">
        <f t="shared" si="52"/>
        <v>0</v>
      </c>
      <c r="F56" s="1631">
        <f t="shared" si="53"/>
        <v>0</v>
      </c>
      <c r="G56" s="2393">
        <f t="shared" si="53"/>
        <v>0</v>
      </c>
      <c r="H56" s="1589"/>
      <c r="I56" s="1589"/>
      <c r="J56" s="1589"/>
      <c r="K56" s="1590"/>
      <c r="L56" s="1591"/>
      <c r="M56" s="1586"/>
      <c r="N56" s="2398">
        <f>M56*L56/1000</f>
        <v>0</v>
      </c>
      <c r="O56" s="1592">
        <f t="shared" si="49"/>
        <v>0</v>
      </c>
      <c r="P56" s="1585">
        <f>O56*D52/1000</f>
        <v>0</v>
      </c>
      <c r="Q56" s="1586"/>
      <c r="R56" s="1594"/>
      <c r="S56" s="1595">
        <f t="shared" si="45"/>
        <v>0</v>
      </c>
      <c r="T56" s="1593">
        <f t="shared" si="43"/>
        <v>0</v>
      </c>
      <c r="U56" s="1587">
        <f t="shared" si="44"/>
        <v>380</v>
      </c>
      <c r="V56" s="1623">
        <f t="shared" si="50"/>
        <v>0</v>
      </c>
      <c r="W56" s="1585">
        <f t="shared" si="51"/>
        <v>0</v>
      </c>
      <c r="X56" s="1692" t="e">
        <f>W56*10^6/Y56</f>
        <v>#DIV/0!</v>
      </c>
      <c r="Y56" s="1597"/>
      <c r="AA56" s="1698">
        <f t="shared" ref="AA56:AA60" si="54">B56*365+F56*30-L56*60-O56*30</f>
        <v>0</v>
      </c>
    </row>
    <row r="57" spans="1:27" ht="11.25" customHeight="1">
      <c r="A57" s="1625" t="s">
        <v>587</v>
      </c>
      <c r="B57" s="1595">
        <f t="shared" si="41"/>
        <v>0</v>
      </c>
      <c r="C57" s="1585">
        <f t="shared" si="37"/>
        <v>0</v>
      </c>
      <c r="D57" s="1592">
        <f t="shared" si="42"/>
        <v>350</v>
      </c>
      <c r="E57" s="1587">
        <f t="shared" si="52"/>
        <v>0</v>
      </c>
      <c r="F57" s="1631">
        <f t="shared" si="53"/>
        <v>0</v>
      </c>
      <c r="G57" s="2393">
        <f t="shared" si="53"/>
        <v>0</v>
      </c>
      <c r="H57" s="1589"/>
      <c r="I57" s="1589"/>
      <c r="J57" s="1589"/>
      <c r="K57" s="1590"/>
      <c r="L57" s="1591"/>
      <c r="M57" s="1586"/>
      <c r="N57" s="2398">
        <f t="shared" si="46"/>
        <v>0</v>
      </c>
      <c r="O57" s="1592">
        <f t="shared" si="49"/>
        <v>0</v>
      </c>
      <c r="P57" s="1585">
        <f>O57*D55/1000</f>
        <v>0</v>
      </c>
      <c r="Q57" s="1586"/>
      <c r="R57" s="1594"/>
      <c r="S57" s="1595">
        <f t="shared" si="45"/>
        <v>0</v>
      </c>
      <c r="T57" s="1593">
        <f t="shared" si="43"/>
        <v>0</v>
      </c>
      <c r="U57" s="1587">
        <f t="shared" si="44"/>
        <v>350</v>
      </c>
      <c r="V57" s="1623">
        <f t="shared" si="50"/>
        <v>0</v>
      </c>
      <c r="W57" s="1585">
        <f t="shared" si="51"/>
        <v>0</v>
      </c>
      <c r="X57" s="1692" t="e">
        <f t="shared" si="48"/>
        <v>#DIV/0!</v>
      </c>
      <c r="Y57" s="1597"/>
      <c r="AA57" s="1698">
        <f t="shared" si="54"/>
        <v>0</v>
      </c>
    </row>
    <row r="58" spans="1:27" ht="11.25" customHeight="1">
      <c r="A58" s="1625" t="s">
        <v>588</v>
      </c>
      <c r="B58" s="1595">
        <f t="shared" si="41"/>
        <v>0</v>
      </c>
      <c r="C58" s="1585">
        <f t="shared" si="37"/>
        <v>0</v>
      </c>
      <c r="D58" s="1592">
        <f t="shared" si="42"/>
        <v>320</v>
      </c>
      <c r="E58" s="1587">
        <f t="shared" si="52"/>
        <v>0</v>
      </c>
      <c r="F58" s="1631">
        <f t="shared" si="53"/>
        <v>0</v>
      </c>
      <c r="G58" s="2393">
        <f t="shared" si="53"/>
        <v>0</v>
      </c>
      <c r="H58" s="1589"/>
      <c r="I58" s="1589"/>
      <c r="J58" s="1589"/>
      <c r="K58" s="1590"/>
      <c r="L58" s="1591"/>
      <c r="M58" s="1586"/>
      <c r="N58" s="2398">
        <f t="shared" si="46"/>
        <v>0</v>
      </c>
      <c r="O58" s="1592">
        <f t="shared" si="49"/>
        <v>0</v>
      </c>
      <c r="P58" s="1585">
        <f>O58*D56/1000</f>
        <v>0</v>
      </c>
      <c r="Q58" s="1586"/>
      <c r="R58" s="1594"/>
      <c r="S58" s="1595">
        <f t="shared" si="45"/>
        <v>0</v>
      </c>
      <c r="T58" s="1593">
        <f t="shared" si="43"/>
        <v>0</v>
      </c>
      <c r="U58" s="1587">
        <f t="shared" si="44"/>
        <v>320</v>
      </c>
      <c r="V58" s="1623">
        <f t="shared" si="50"/>
        <v>0</v>
      </c>
      <c r="W58" s="1585">
        <f t="shared" si="51"/>
        <v>0</v>
      </c>
      <c r="X58" s="1692" t="e">
        <f t="shared" si="48"/>
        <v>#DIV/0!</v>
      </c>
      <c r="Y58" s="1597"/>
      <c r="AA58" s="1698">
        <f t="shared" si="54"/>
        <v>0</v>
      </c>
    </row>
    <row r="59" spans="1:27" ht="11.25" customHeight="1">
      <c r="A59" s="1625" t="s">
        <v>589</v>
      </c>
      <c r="B59" s="1595">
        <f t="shared" si="41"/>
        <v>0</v>
      </c>
      <c r="C59" s="1585">
        <f t="shared" si="37"/>
        <v>0</v>
      </c>
      <c r="D59" s="1592">
        <f t="shared" si="42"/>
        <v>210</v>
      </c>
      <c r="E59" s="1587">
        <f t="shared" si="52"/>
        <v>0</v>
      </c>
      <c r="F59" s="1631">
        <f t="shared" si="53"/>
        <v>0</v>
      </c>
      <c r="G59" s="2393">
        <f t="shared" si="53"/>
        <v>0</v>
      </c>
      <c r="H59" s="1589"/>
      <c r="I59" s="1589"/>
      <c r="J59" s="1589"/>
      <c r="K59" s="1590"/>
      <c r="L59" s="1591"/>
      <c r="M59" s="1586"/>
      <c r="N59" s="2398">
        <f t="shared" si="46"/>
        <v>0</v>
      </c>
      <c r="O59" s="1592">
        <f t="shared" si="49"/>
        <v>0</v>
      </c>
      <c r="P59" s="1585">
        <f>O59*D57/1000</f>
        <v>0</v>
      </c>
      <c r="Q59" s="1586"/>
      <c r="R59" s="1594"/>
      <c r="S59" s="1595">
        <f t="shared" si="45"/>
        <v>0</v>
      </c>
      <c r="T59" s="1593">
        <f t="shared" si="43"/>
        <v>0</v>
      </c>
      <c r="U59" s="1587">
        <f t="shared" si="44"/>
        <v>210</v>
      </c>
      <c r="V59" s="1623">
        <f t="shared" si="50"/>
        <v>0</v>
      </c>
      <c r="W59" s="1585">
        <f t="shared" si="51"/>
        <v>0</v>
      </c>
      <c r="X59" s="1692" t="e">
        <f t="shared" si="48"/>
        <v>#DIV/0!</v>
      </c>
      <c r="Y59" s="1597"/>
      <c r="AA59" s="1698">
        <f t="shared" si="54"/>
        <v>0</v>
      </c>
    </row>
    <row r="60" spans="1:27" ht="11.25" customHeight="1">
      <c r="A60" s="1625" t="s">
        <v>590</v>
      </c>
      <c r="B60" s="1595">
        <f t="shared" si="41"/>
        <v>0</v>
      </c>
      <c r="C60" s="1585">
        <f t="shared" si="37"/>
        <v>0</v>
      </c>
      <c r="D60" s="1592">
        <f t="shared" si="42"/>
        <v>210</v>
      </c>
      <c r="E60" s="1587">
        <f t="shared" si="52"/>
        <v>0</v>
      </c>
      <c r="F60" s="1631">
        <f t="shared" si="53"/>
        <v>0</v>
      </c>
      <c r="G60" s="2393">
        <f t="shared" si="53"/>
        <v>0</v>
      </c>
      <c r="H60" s="1589"/>
      <c r="I60" s="1589"/>
      <c r="J60" s="1589"/>
      <c r="K60" s="1590"/>
      <c r="L60" s="1591"/>
      <c r="M60" s="1586"/>
      <c r="N60" s="2398">
        <f t="shared" si="46"/>
        <v>0</v>
      </c>
      <c r="O60" s="1592">
        <f t="shared" si="49"/>
        <v>0</v>
      </c>
      <c r="P60" s="1585">
        <f>O60*D58/1000</f>
        <v>0</v>
      </c>
      <c r="Q60" s="1586"/>
      <c r="R60" s="1594"/>
      <c r="S60" s="1595">
        <f t="shared" si="45"/>
        <v>0</v>
      </c>
      <c r="T60" s="1593">
        <f t="shared" si="43"/>
        <v>0</v>
      </c>
      <c r="U60" s="1587">
        <f t="shared" si="44"/>
        <v>210</v>
      </c>
      <c r="V60" s="1623">
        <f t="shared" si="50"/>
        <v>0</v>
      </c>
      <c r="W60" s="1585">
        <f t="shared" si="51"/>
        <v>0</v>
      </c>
      <c r="X60" s="1692" t="e">
        <f t="shared" si="48"/>
        <v>#DIV/0!</v>
      </c>
      <c r="Y60" s="1597"/>
      <c r="AA60" s="1698">
        <f t="shared" si="54"/>
        <v>0</v>
      </c>
    </row>
    <row r="61" spans="1:27" ht="11.25" customHeight="1">
      <c r="A61" s="1625" t="s">
        <v>591</v>
      </c>
      <c r="B61" s="1595">
        <f t="shared" si="41"/>
        <v>0</v>
      </c>
      <c r="C61" s="1585">
        <f t="shared" si="37"/>
        <v>0</v>
      </c>
      <c r="D61" s="1592">
        <v>25</v>
      </c>
      <c r="E61" s="1587"/>
      <c r="F61" s="1631">
        <f>INT(D4%*B52/2)</f>
        <v>0</v>
      </c>
      <c r="G61" s="2393">
        <f>D61*F61/1000</f>
        <v>0</v>
      </c>
      <c r="H61" s="1589"/>
      <c r="I61" s="1589"/>
      <c r="J61" s="1589"/>
      <c r="K61" s="1590"/>
      <c r="L61" s="1591"/>
      <c r="M61" s="1586"/>
      <c r="N61" s="2398">
        <f>M61*L61/1000</f>
        <v>0</v>
      </c>
      <c r="O61" s="1592"/>
      <c r="P61" s="1585">
        <f>O61*210/1000</f>
        <v>0</v>
      </c>
      <c r="Q61" s="1586"/>
      <c r="R61" s="1594"/>
      <c r="S61" s="1595">
        <f>B61+F61+H61+J61-L61-O61-Q61</f>
        <v>0</v>
      </c>
      <c r="T61" s="1593">
        <v>0</v>
      </c>
      <c r="U61" s="1587">
        <v>0</v>
      </c>
      <c r="V61" s="1623">
        <f>Y61/365</f>
        <v>0</v>
      </c>
      <c r="W61" s="1585">
        <f>T61+R61+P61+N61-K61-I61-G61-C61</f>
        <v>0</v>
      </c>
      <c r="X61" s="1692" t="e">
        <f>W61*10^6/Y61</f>
        <v>#DIV/0!</v>
      </c>
      <c r="Y61" s="1597"/>
      <c r="AA61" s="1698">
        <f>F61*280-L61*60-O61*30</f>
        <v>0</v>
      </c>
    </row>
    <row r="62" spans="1:27" ht="11.25" customHeight="1" thickBot="1">
      <c r="A62" s="1626" t="s">
        <v>592</v>
      </c>
      <c r="B62" s="1627">
        <f t="shared" si="41"/>
        <v>0</v>
      </c>
      <c r="C62" s="1628">
        <f t="shared" si="37"/>
        <v>0</v>
      </c>
      <c r="D62" s="1629">
        <v>25</v>
      </c>
      <c r="E62" s="1630"/>
      <c r="F62" s="1631">
        <f>INT(D4%*B52/2)</f>
        <v>0</v>
      </c>
      <c r="G62" s="2395">
        <f>D62*F62/1000</f>
        <v>0</v>
      </c>
      <c r="H62" s="1605"/>
      <c r="I62" s="1605"/>
      <c r="J62" s="1605"/>
      <c r="K62" s="1606"/>
      <c r="L62" s="1607"/>
      <c r="M62" s="1602"/>
      <c r="N62" s="2399">
        <f>M62*L62/1000</f>
        <v>0</v>
      </c>
      <c r="O62" s="1608">
        <f t="shared" ref="O62" si="55">F62-L62-Q62</f>
        <v>0</v>
      </c>
      <c r="P62" s="2401">
        <f>O62*210/1000</f>
        <v>0</v>
      </c>
      <c r="Q62" s="1602"/>
      <c r="R62" s="1609"/>
      <c r="S62" s="1604">
        <f>B62+F62+H62+J62-L62-O62-Q62</f>
        <v>0</v>
      </c>
      <c r="T62" s="1601">
        <v>0</v>
      </c>
      <c r="U62" s="1603">
        <v>0</v>
      </c>
      <c r="V62" s="2396">
        <f>Y62/365</f>
        <v>0</v>
      </c>
      <c r="W62" s="2401">
        <f>T62+R62+P62+N62-K62-I62-G62-C62</f>
        <v>0</v>
      </c>
      <c r="X62" s="1693" t="e">
        <f>W62*10^6/Y62</f>
        <v>#DIV/0!</v>
      </c>
      <c r="Y62" s="1610"/>
      <c r="AA62" s="1698">
        <f>F62*280-L62*60-O62*30</f>
        <v>0</v>
      </c>
    </row>
    <row r="63" spans="1:27" ht="11.25" customHeight="1" thickBot="1">
      <c r="A63" s="2375" t="s">
        <v>238</v>
      </c>
      <c r="B63" s="2382">
        <f>SUM(B50:B62)</f>
        <v>0</v>
      </c>
      <c r="C63" s="2383">
        <f>SUM(C50:C62)</f>
        <v>0</v>
      </c>
      <c r="D63" s="2384" t="s">
        <v>221</v>
      </c>
      <c r="E63" s="2385">
        <f>SUM(E50:E62)</f>
        <v>0</v>
      </c>
      <c r="F63" s="2376">
        <f>SUM(F50:F62)</f>
        <v>0</v>
      </c>
      <c r="G63" s="2400">
        <f>SUM(G50:G62)</f>
        <v>0</v>
      </c>
      <c r="H63" s="2377">
        <f t="shared" ref="H63:L63" si="56">SUM(H50:H62)</f>
        <v>0</v>
      </c>
      <c r="I63" s="2377">
        <f t="shared" si="56"/>
        <v>0</v>
      </c>
      <c r="J63" s="2377">
        <f t="shared" si="56"/>
        <v>0</v>
      </c>
      <c r="K63" s="2379">
        <f t="shared" si="56"/>
        <v>0</v>
      </c>
      <c r="L63" s="2376">
        <f t="shared" si="56"/>
        <v>0</v>
      </c>
      <c r="M63" s="2380" t="e">
        <f>N63/L63*1000</f>
        <v>#DIV/0!</v>
      </c>
      <c r="N63" s="2400">
        <f t="shared" ref="N63:T63" si="57">SUM(N50:N62)</f>
        <v>0</v>
      </c>
      <c r="O63" s="2377">
        <f t="shared" si="57"/>
        <v>0</v>
      </c>
      <c r="P63" s="2400">
        <f t="shared" si="57"/>
        <v>0</v>
      </c>
      <c r="Q63" s="2377">
        <f t="shared" si="57"/>
        <v>0</v>
      </c>
      <c r="R63" s="2379">
        <f t="shared" si="57"/>
        <v>0</v>
      </c>
      <c r="S63" s="2376">
        <f t="shared" si="57"/>
        <v>0</v>
      </c>
      <c r="T63" s="2377">
        <f t="shared" si="57"/>
        <v>0</v>
      </c>
      <c r="U63" s="2379" t="s">
        <v>221</v>
      </c>
      <c r="V63" s="2397">
        <f t="shared" ref="V63:W63" si="58">SUM(V50:V62)</f>
        <v>0</v>
      </c>
      <c r="W63" s="2400">
        <f t="shared" si="58"/>
        <v>0</v>
      </c>
      <c r="X63" s="2377" t="s">
        <v>221</v>
      </c>
      <c r="Y63" s="2381">
        <f t="shared" ref="Y63" si="59">SUM(Y50:Y62)</f>
        <v>0</v>
      </c>
    </row>
    <row r="64" spans="1:27" ht="6" customHeight="1"/>
    <row r="65" spans="1:27" ht="13.5" customHeight="1" thickBot="1">
      <c r="A65" s="1642" t="s">
        <v>667</v>
      </c>
    </row>
    <row r="66" spans="1:27" ht="10.5" customHeight="1">
      <c r="A66" s="1964" t="s">
        <v>284</v>
      </c>
      <c r="B66" s="1967" t="s">
        <v>285</v>
      </c>
      <c r="C66" s="1968"/>
      <c r="D66" s="1968"/>
      <c r="E66" s="1969"/>
      <c r="F66" s="1967" t="s">
        <v>245</v>
      </c>
      <c r="G66" s="1968"/>
      <c r="H66" s="1968"/>
      <c r="I66" s="1968"/>
      <c r="J66" s="1968"/>
      <c r="K66" s="1969"/>
      <c r="L66" s="1967" t="s">
        <v>250</v>
      </c>
      <c r="M66" s="1968"/>
      <c r="N66" s="1968"/>
      <c r="O66" s="1968"/>
      <c r="P66" s="1968"/>
      <c r="Q66" s="1968"/>
      <c r="R66" s="1969"/>
      <c r="S66" s="1967" t="s">
        <v>653</v>
      </c>
      <c r="T66" s="1968"/>
      <c r="U66" s="1969"/>
      <c r="V66" s="1959" t="s">
        <v>654</v>
      </c>
      <c r="W66" s="1962" t="s">
        <v>655</v>
      </c>
      <c r="X66" s="1963" t="s">
        <v>637</v>
      </c>
      <c r="Y66" s="1947" t="s">
        <v>256</v>
      </c>
    </row>
    <row r="67" spans="1:27" ht="45" customHeight="1">
      <c r="A67" s="1965"/>
      <c r="B67" s="1950" t="s">
        <v>292</v>
      </c>
      <c r="C67" s="1952" t="s">
        <v>242</v>
      </c>
      <c r="D67" s="1954" t="s">
        <v>656</v>
      </c>
      <c r="E67" s="1948" t="s">
        <v>657</v>
      </c>
      <c r="F67" s="1956" t="s">
        <v>658</v>
      </c>
      <c r="G67" s="1957"/>
      <c r="H67" s="1957" t="s">
        <v>659</v>
      </c>
      <c r="I67" s="1957"/>
      <c r="J67" s="1957" t="s">
        <v>660</v>
      </c>
      <c r="K67" s="1958"/>
      <c r="L67" s="1956" t="s">
        <v>299</v>
      </c>
      <c r="M67" s="1957"/>
      <c r="N67" s="1957"/>
      <c r="O67" s="1957" t="s">
        <v>661</v>
      </c>
      <c r="P67" s="1957"/>
      <c r="Q67" s="1957" t="s">
        <v>635</v>
      </c>
      <c r="R67" s="1958"/>
      <c r="S67" s="1950" t="s">
        <v>292</v>
      </c>
      <c r="T67" s="1952" t="s">
        <v>242</v>
      </c>
      <c r="U67" s="1948" t="s">
        <v>656</v>
      </c>
      <c r="V67" s="1960"/>
      <c r="W67" s="1952"/>
      <c r="X67" s="1954"/>
      <c r="Y67" s="1948"/>
    </row>
    <row r="68" spans="1:27" ht="36.75" customHeight="1" thickBot="1">
      <c r="A68" s="1966"/>
      <c r="B68" s="1951"/>
      <c r="C68" s="1953"/>
      <c r="D68" s="1955"/>
      <c r="E68" s="1949"/>
      <c r="F68" s="1560" t="s">
        <v>662</v>
      </c>
      <c r="G68" s="1561" t="s">
        <v>242</v>
      </c>
      <c r="H68" s="1562" t="s">
        <v>662</v>
      </c>
      <c r="I68" s="1561" t="s">
        <v>242</v>
      </c>
      <c r="J68" s="1562" t="s">
        <v>662</v>
      </c>
      <c r="K68" s="1563" t="s">
        <v>242</v>
      </c>
      <c r="L68" s="1560" t="s">
        <v>662</v>
      </c>
      <c r="M68" s="1561" t="s">
        <v>663</v>
      </c>
      <c r="N68" s="1561" t="s">
        <v>242</v>
      </c>
      <c r="O68" s="1562" t="s">
        <v>662</v>
      </c>
      <c r="P68" s="1561" t="s">
        <v>242</v>
      </c>
      <c r="Q68" s="1562" t="s">
        <v>662</v>
      </c>
      <c r="R68" s="1563" t="s">
        <v>242</v>
      </c>
      <c r="S68" s="1951"/>
      <c r="T68" s="1953"/>
      <c r="U68" s="1949"/>
      <c r="V68" s="1961"/>
      <c r="W68" s="1953"/>
      <c r="X68" s="1955"/>
      <c r="Y68" s="1949"/>
    </row>
    <row r="69" spans="1:27" ht="9.75" customHeight="1" thickBot="1">
      <c r="A69" s="1564" t="s">
        <v>305</v>
      </c>
      <c r="B69" s="1612">
        <v>1</v>
      </c>
      <c r="C69" s="1613">
        <v>2</v>
      </c>
      <c r="D69" s="1613">
        <v>3</v>
      </c>
      <c r="E69" s="1614">
        <v>4</v>
      </c>
      <c r="F69" s="1565">
        <v>5</v>
      </c>
      <c r="G69" s="1566">
        <v>6</v>
      </c>
      <c r="H69" s="1566">
        <v>7</v>
      </c>
      <c r="I69" s="1566">
        <v>8</v>
      </c>
      <c r="J69" s="1566">
        <v>9</v>
      </c>
      <c r="K69" s="1567">
        <v>10</v>
      </c>
      <c r="L69" s="1565">
        <v>11</v>
      </c>
      <c r="M69" s="1566">
        <v>12</v>
      </c>
      <c r="N69" s="1566">
        <v>13</v>
      </c>
      <c r="O69" s="1566">
        <v>14</v>
      </c>
      <c r="P69" s="1566">
        <v>15</v>
      </c>
      <c r="Q69" s="1566">
        <v>16</v>
      </c>
      <c r="R69" s="1567">
        <v>17</v>
      </c>
      <c r="S69" s="1565">
        <v>18</v>
      </c>
      <c r="T69" s="1566">
        <v>19</v>
      </c>
      <c r="U69" s="1567">
        <v>20</v>
      </c>
      <c r="V69" s="1568">
        <v>21</v>
      </c>
      <c r="W69" s="1566">
        <v>22</v>
      </c>
      <c r="X69" s="1566">
        <v>23</v>
      </c>
      <c r="Y69" s="1567">
        <v>24</v>
      </c>
    </row>
    <row r="70" spans="1:27" ht="11.25" customHeight="1">
      <c r="A70" s="1615" t="s">
        <v>580</v>
      </c>
      <c r="B70" s="1616">
        <f>S50</f>
        <v>0</v>
      </c>
      <c r="C70" s="1617">
        <f t="shared" ref="C70:D82" si="60">T50</f>
        <v>0</v>
      </c>
      <c r="D70" s="1618">
        <f t="shared" si="60"/>
        <v>460</v>
      </c>
      <c r="E70" s="1619">
        <f>B70*43</f>
        <v>0</v>
      </c>
      <c r="F70" s="1581"/>
      <c r="G70" s="1574"/>
      <c r="H70" s="1575"/>
      <c r="I70" s="1575"/>
      <c r="J70" s="1575"/>
      <c r="K70" s="1576"/>
      <c r="L70" s="1577"/>
      <c r="M70" s="1620"/>
      <c r="N70" s="2398">
        <f t="shared" ref="N70:N71" si="61">M70*L70/1000</f>
        <v>0</v>
      </c>
      <c r="O70" s="1620"/>
      <c r="P70" s="1572"/>
      <c r="Q70" s="1572"/>
      <c r="R70" s="1579"/>
      <c r="S70" s="1580">
        <f t="shared" ref="S70:S80" si="62">B70+F70+H70+J70-L70-O70-Q70</f>
        <v>0</v>
      </c>
      <c r="T70" s="1571">
        <f>S70*D70/1000</f>
        <v>0</v>
      </c>
      <c r="U70" s="1573">
        <f>D70</f>
        <v>460</v>
      </c>
      <c r="V70" s="1621">
        <f t="shared" ref="V70:V73" si="63">Y70/365</f>
        <v>0</v>
      </c>
      <c r="W70" s="1578"/>
      <c r="X70" s="2392"/>
      <c r="Y70" s="1582"/>
      <c r="AA70" s="1698">
        <f t="shared" ref="AA70:AA71" si="64">B70*365+F70*280-L70*305</f>
        <v>0</v>
      </c>
    </row>
    <row r="71" spans="1:27" ht="11.25" customHeight="1">
      <c r="A71" s="1622" t="s">
        <v>581</v>
      </c>
      <c r="B71" s="1595">
        <f t="shared" ref="B71:B82" si="65">S51</f>
        <v>0</v>
      </c>
      <c r="C71" s="1585">
        <f t="shared" si="60"/>
        <v>0</v>
      </c>
      <c r="D71" s="1592">
        <f t="shared" ref="D71:D80" si="66">U51</f>
        <v>480</v>
      </c>
      <c r="E71" s="1587">
        <f>C71*43</f>
        <v>0</v>
      </c>
      <c r="F71" s="1596"/>
      <c r="G71" s="1588"/>
      <c r="H71" s="1589"/>
      <c r="I71" s="1589"/>
      <c r="J71" s="1589"/>
      <c r="K71" s="1590"/>
      <c r="L71" s="1591"/>
      <c r="M71" s="1586"/>
      <c r="N71" s="2398">
        <f t="shared" si="61"/>
        <v>0</v>
      </c>
      <c r="O71" s="2366"/>
      <c r="P71" s="1586"/>
      <c r="Q71" s="1586"/>
      <c r="R71" s="1594"/>
      <c r="S71" s="1595">
        <f t="shared" si="62"/>
        <v>0</v>
      </c>
      <c r="T71" s="1585">
        <f t="shared" ref="T71:T80" si="67">S71*D71/1000</f>
        <v>0</v>
      </c>
      <c r="U71" s="1587">
        <f t="shared" ref="U71:U80" si="68">D71</f>
        <v>480</v>
      </c>
      <c r="V71" s="1623">
        <f t="shared" si="63"/>
        <v>0</v>
      </c>
      <c r="W71" s="1593"/>
      <c r="X71" s="2392"/>
      <c r="Y71" s="1597"/>
      <c r="AA71" s="1698">
        <f t="shared" si="64"/>
        <v>0</v>
      </c>
    </row>
    <row r="72" spans="1:27" ht="11.25" customHeight="1">
      <c r="A72" s="1622" t="s">
        <v>582</v>
      </c>
      <c r="B72" s="1595">
        <f t="shared" si="65"/>
        <v>0</v>
      </c>
      <c r="C72" s="1585">
        <f t="shared" si="60"/>
        <v>0</v>
      </c>
      <c r="D72" s="1592">
        <f t="shared" si="66"/>
        <v>430</v>
      </c>
      <c r="E72" s="1587">
        <f>B72*36</f>
        <v>0</v>
      </c>
      <c r="F72" s="1624">
        <f>O76</f>
        <v>0</v>
      </c>
      <c r="G72" s="2393">
        <f>P76</f>
        <v>0</v>
      </c>
      <c r="H72" s="1589"/>
      <c r="I72" s="1589"/>
      <c r="J72" s="1589"/>
      <c r="K72" s="1590"/>
      <c r="L72" s="1591"/>
      <c r="M72" s="1586"/>
      <c r="N72" s="2398">
        <f>M72*L72/1000</f>
        <v>0</v>
      </c>
      <c r="O72" s="1586"/>
      <c r="P72" s="1586"/>
      <c r="Q72" s="1586"/>
      <c r="R72" s="1594"/>
      <c r="S72" s="1595">
        <f t="shared" si="62"/>
        <v>0</v>
      </c>
      <c r="T72" s="1585">
        <f t="shared" si="67"/>
        <v>0</v>
      </c>
      <c r="U72" s="1587">
        <f t="shared" si="68"/>
        <v>430</v>
      </c>
      <c r="V72" s="1623">
        <f t="shared" si="63"/>
        <v>0</v>
      </c>
      <c r="W72" s="1593"/>
      <c r="X72" s="2392"/>
      <c r="Y72" s="1597"/>
      <c r="AA72" s="1698">
        <f>B72*365+F72*280-L72*305</f>
        <v>0</v>
      </c>
    </row>
    <row r="73" spans="1:27" ht="11.25" customHeight="1">
      <c r="A73" s="1622" t="s">
        <v>583</v>
      </c>
      <c r="B73" s="1595">
        <f t="shared" si="65"/>
        <v>0</v>
      </c>
      <c r="C73" s="1585">
        <f t="shared" si="60"/>
        <v>0</v>
      </c>
      <c r="D73" s="1592">
        <f t="shared" si="66"/>
        <v>0</v>
      </c>
      <c r="E73" s="1587"/>
      <c r="F73" s="2387">
        <f>O70+O71+O72</f>
        <v>0</v>
      </c>
      <c r="G73" s="2394">
        <f>P70+P71+P72</f>
        <v>0</v>
      </c>
      <c r="H73" s="1589"/>
      <c r="I73" s="1589"/>
      <c r="J73" s="1589"/>
      <c r="K73" s="1590"/>
      <c r="L73" s="1591"/>
      <c r="M73" s="1586"/>
      <c r="N73" s="2398">
        <f t="shared" ref="N73:N80" si="69">M73*L73/1000</f>
        <v>0</v>
      </c>
      <c r="O73" s="1593"/>
      <c r="P73" s="1593"/>
      <c r="Q73" s="1586"/>
      <c r="R73" s="1594"/>
      <c r="S73" s="1595">
        <f t="shared" si="62"/>
        <v>0</v>
      </c>
      <c r="T73" s="1585">
        <f t="shared" si="67"/>
        <v>0</v>
      </c>
      <c r="U73" s="1587">
        <f t="shared" si="68"/>
        <v>0</v>
      </c>
      <c r="V73" s="1623">
        <f t="shared" si="63"/>
        <v>0</v>
      </c>
      <c r="W73" s="1585">
        <f>T73+R73+P73+N73-K73-I73-G73-C73</f>
        <v>0</v>
      </c>
      <c r="X73" s="1692" t="e">
        <f t="shared" ref="X71:X80" si="70">W73*10^6/Y73</f>
        <v>#DIV/0!</v>
      </c>
      <c r="Y73" s="1597"/>
      <c r="AA73" s="1698">
        <f>B73*365+F73*280</f>
        <v>0</v>
      </c>
    </row>
    <row r="74" spans="1:27" ht="11.25" customHeight="1">
      <c r="A74" s="1625" t="s">
        <v>584</v>
      </c>
      <c r="B74" s="1595">
        <f t="shared" si="65"/>
        <v>0</v>
      </c>
      <c r="C74" s="1585">
        <f t="shared" si="60"/>
        <v>0</v>
      </c>
      <c r="D74" s="1592">
        <f t="shared" si="66"/>
        <v>450</v>
      </c>
      <c r="E74" s="1587">
        <f>C74*64</f>
        <v>0</v>
      </c>
      <c r="F74" s="1624">
        <f>O75</f>
        <v>0</v>
      </c>
      <c r="G74" s="2393">
        <f>P75</f>
        <v>0</v>
      </c>
      <c r="H74" s="1589"/>
      <c r="I74" s="1589"/>
      <c r="J74" s="1589"/>
      <c r="K74" s="1590"/>
      <c r="L74" s="1591"/>
      <c r="M74" s="1586"/>
      <c r="N74" s="2398">
        <f t="shared" si="69"/>
        <v>0</v>
      </c>
      <c r="O74" s="1592">
        <f t="shared" ref="O74:O80" si="71">B74-L74-Q74</f>
        <v>0</v>
      </c>
      <c r="P74" s="1586"/>
      <c r="Q74" s="1586"/>
      <c r="R74" s="1594"/>
      <c r="S74" s="1595">
        <f t="shared" si="62"/>
        <v>0</v>
      </c>
      <c r="T74" s="1585">
        <f t="shared" si="67"/>
        <v>0</v>
      </c>
      <c r="U74" s="1587">
        <f t="shared" si="68"/>
        <v>450</v>
      </c>
      <c r="V74" s="1623">
        <f t="shared" ref="V74:V80" si="72">Y74/365</f>
        <v>0</v>
      </c>
      <c r="W74" s="1585">
        <f t="shared" ref="W74:W80" si="73">T74+R74+P74+N74-K74-I74-G74-C74</f>
        <v>0</v>
      </c>
      <c r="X74" s="1692" t="e">
        <f t="shared" si="70"/>
        <v>#DIV/0!</v>
      </c>
      <c r="Y74" s="1597"/>
      <c r="AA74" s="1698">
        <f>B74*365+F74*30-L74*60</f>
        <v>0</v>
      </c>
    </row>
    <row r="75" spans="1:27" ht="11.25" customHeight="1">
      <c r="A75" s="1625" t="s">
        <v>585</v>
      </c>
      <c r="B75" s="1595">
        <f t="shared" si="65"/>
        <v>0</v>
      </c>
      <c r="C75" s="1585">
        <f t="shared" si="60"/>
        <v>0</v>
      </c>
      <c r="D75" s="1592">
        <f t="shared" si="66"/>
        <v>410</v>
      </c>
      <c r="E75" s="1587">
        <f t="shared" ref="E75:E80" si="74">C75*64</f>
        <v>0</v>
      </c>
      <c r="F75" s="1624">
        <f t="shared" ref="F75:G80" si="75">O77</f>
        <v>0</v>
      </c>
      <c r="G75" s="2393">
        <f t="shared" si="75"/>
        <v>0</v>
      </c>
      <c r="H75" s="1589"/>
      <c r="I75" s="1589"/>
      <c r="J75" s="1589"/>
      <c r="K75" s="1590"/>
      <c r="L75" s="1591"/>
      <c r="M75" s="1586"/>
      <c r="N75" s="2398">
        <f t="shared" si="69"/>
        <v>0</v>
      </c>
      <c r="O75" s="1592">
        <f t="shared" si="71"/>
        <v>0</v>
      </c>
      <c r="P75" s="1585">
        <f>O75*D74/1000</f>
        <v>0</v>
      </c>
      <c r="Q75" s="1586"/>
      <c r="R75" s="1594"/>
      <c r="S75" s="1595">
        <f t="shared" si="62"/>
        <v>0</v>
      </c>
      <c r="T75" s="1585">
        <f t="shared" si="67"/>
        <v>0</v>
      </c>
      <c r="U75" s="1587">
        <f t="shared" si="68"/>
        <v>410</v>
      </c>
      <c r="V75" s="1623">
        <f t="shared" si="72"/>
        <v>0</v>
      </c>
      <c r="W75" s="1585">
        <f t="shared" si="73"/>
        <v>0</v>
      </c>
      <c r="X75" s="1692" t="e">
        <f t="shared" si="70"/>
        <v>#DIV/0!</v>
      </c>
      <c r="Y75" s="1597"/>
      <c r="AA75" s="1698">
        <f>B75*365+F75*30-L75*60-O75*30</f>
        <v>0</v>
      </c>
    </row>
    <row r="76" spans="1:27" ht="11.25" customHeight="1">
      <c r="A76" s="1625" t="s">
        <v>586</v>
      </c>
      <c r="B76" s="1595">
        <f t="shared" si="65"/>
        <v>0</v>
      </c>
      <c r="C76" s="1585">
        <f t="shared" si="60"/>
        <v>0</v>
      </c>
      <c r="D76" s="1592">
        <f t="shared" si="66"/>
        <v>380</v>
      </c>
      <c r="E76" s="1587">
        <f t="shared" si="74"/>
        <v>0</v>
      </c>
      <c r="F76" s="1624">
        <f t="shared" si="75"/>
        <v>0</v>
      </c>
      <c r="G76" s="2393">
        <f t="shared" si="75"/>
        <v>0</v>
      </c>
      <c r="H76" s="1589"/>
      <c r="I76" s="1589"/>
      <c r="J76" s="1589"/>
      <c r="K76" s="1590"/>
      <c r="L76" s="1591"/>
      <c r="M76" s="1586"/>
      <c r="N76" s="2398">
        <f>M76*L76/1000</f>
        <v>0</v>
      </c>
      <c r="O76" s="1592">
        <f t="shared" si="71"/>
        <v>0</v>
      </c>
      <c r="P76" s="1585">
        <f>O76*D72/1000</f>
        <v>0</v>
      </c>
      <c r="Q76" s="1586"/>
      <c r="R76" s="1594"/>
      <c r="S76" s="1595">
        <f t="shared" si="62"/>
        <v>0</v>
      </c>
      <c r="T76" s="1585">
        <f t="shared" si="67"/>
        <v>0</v>
      </c>
      <c r="U76" s="1587">
        <f t="shared" si="68"/>
        <v>380</v>
      </c>
      <c r="V76" s="1623">
        <f t="shared" si="72"/>
        <v>0</v>
      </c>
      <c r="W76" s="1585">
        <f t="shared" si="73"/>
        <v>0</v>
      </c>
      <c r="X76" s="1692" t="e">
        <f>W76*10^6/Y76</f>
        <v>#DIV/0!</v>
      </c>
      <c r="Y76" s="1597"/>
      <c r="AA76" s="1698">
        <f t="shared" ref="AA76:AA80" si="76">B76*365+F76*30-L76*60-O76*30</f>
        <v>0</v>
      </c>
    </row>
    <row r="77" spans="1:27" ht="11.25" customHeight="1">
      <c r="A77" s="1625" t="s">
        <v>587</v>
      </c>
      <c r="B77" s="1595">
        <f t="shared" si="65"/>
        <v>0</v>
      </c>
      <c r="C77" s="1585">
        <f t="shared" si="60"/>
        <v>0</v>
      </c>
      <c r="D77" s="1592">
        <f t="shared" si="66"/>
        <v>350</v>
      </c>
      <c r="E77" s="1587">
        <f t="shared" si="74"/>
        <v>0</v>
      </c>
      <c r="F77" s="1624">
        <f t="shared" si="75"/>
        <v>0</v>
      </c>
      <c r="G77" s="2393">
        <f t="shared" si="75"/>
        <v>0</v>
      </c>
      <c r="H77" s="1589"/>
      <c r="I77" s="1589"/>
      <c r="J77" s="1589"/>
      <c r="K77" s="1590"/>
      <c r="L77" s="1591"/>
      <c r="M77" s="1586"/>
      <c r="N77" s="2398">
        <f t="shared" si="69"/>
        <v>0</v>
      </c>
      <c r="O77" s="1592">
        <f t="shared" si="71"/>
        <v>0</v>
      </c>
      <c r="P77" s="1585">
        <f>O77*D75/1000</f>
        <v>0</v>
      </c>
      <c r="Q77" s="1586"/>
      <c r="R77" s="1594"/>
      <c r="S77" s="1595">
        <f t="shared" si="62"/>
        <v>0</v>
      </c>
      <c r="T77" s="1585">
        <f t="shared" si="67"/>
        <v>0</v>
      </c>
      <c r="U77" s="1587">
        <f t="shared" si="68"/>
        <v>350</v>
      </c>
      <c r="V77" s="1623">
        <f t="shared" si="72"/>
        <v>0</v>
      </c>
      <c r="W77" s="1585">
        <f t="shared" si="73"/>
        <v>0</v>
      </c>
      <c r="X77" s="1692" t="e">
        <f t="shared" si="70"/>
        <v>#DIV/0!</v>
      </c>
      <c r="Y77" s="1597"/>
      <c r="AA77" s="1698">
        <f t="shared" si="76"/>
        <v>0</v>
      </c>
    </row>
    <row r="78" spans="1:27" ht="11.25" customHeight="1">
      <c r="A78" s="1625" t="s">
        <v>588</v>
      </c>
      <c r="B78" s="1595">
        <f t="shared" si="65"/>
        <v>0</v>
      </c>
      <c r="C78" s="1585">
        <f t="shared" si="60"/>
        <v>0</v>
      </c>
      <c r="D78" s="1592">
        <f t="shared" si="66"/>
        <v>320</v>
      </c>
      <c r="E78" s="1587">
        <f t="shared" si="74"/>
        <v>0</v>
      </c>
      <c r="F78" s="1624">
        <f t="shared" si="75"/>
        <v>0</v>
      </c>
      <c r="G78" s="2393">
        <f t="shared" si="75"/>
        <v>0</v>
      </c>
      <c r="H78" s="1589"/>
      <c r="I78" s="1589"/>
      <c r="J78" s="1589"/>
      <c r="K78" s="1590"/>
      <c r="L78" s="1591"/>
      <c r="M78" s="1586"/>
      <c r="N78" s="2398">
        <f t="shared" si="69"/>
        <v>0</v>
      </c>
      <c r="O78" s="1592">
        <f t="shared" si="71"/>
        <v>0</v>
      </c>
      <c r="P78" s="1585">
        <f>O78*D76/1000</f>
        <v>0</v>
      </c>
      <c r="Q78" s="1586"/>
      <c r="R78" s="1594"/>
      <c r="S78" s="1595">
        <f t="shared" si="62"/>
        <v>0</v>
      </c>
      <c r="T78" s="1585">
        <f t="shared" si="67"/>
        <v>0</v>
      </c>
      <c r="U78" s="1587">
        <f t="shared" si="68"/>
        <v>320</v>
      </c>
      <c r="V78" s="1623">
        <f t="shared" si="72"/>
        <v>0</v>
      </c>
      <c r="W78" s="1585">
        <f t="shared" si="73"/>
        <v>0</v>
      </c>
      <c r="X78" s="1692" t="e">
        <f t="shared" si="70"/>
        <v>#DIV/0!</v>
      </c>
      <c r="Y78" s="1597"/>
      <c r="AA78" s="1698">
        <f t="shared" si="76"/>
        <v>0</v>
      </c>
    </row>
    <row r="79" spans="1:27" ht="11.25" customHeight="1">
      <c r="A79" s="1625" t="s">
        <v>589</v>
      </c>
      <c r="B79" s="1595">
        <f t="shared" si="65"/>
        <v>0</v>
      </c>
      <c r="C79" s="1585">
        <f t="shared" si="60"/>
        <v>0</v>
      </c>
      <c r="D79" s="1592">
        <f t="shared" si="66"/>
        <v>210</v>
      </c>
      <c r="E79" s="1587">
        <f t="shared" si="74"/>
        <v>0</v>
      </c>
      <c r="F79" s="1624">
        <f t="shared" si="75"/>
        <v>0</v>
      </c>
      <c r="G79" s="2393">
        <f t="shared" si="75"/>
        <v>0</v>
      </c>
      <c r="H79" s="1589"/>
      <c r="I79" s="1589"/>
      <c r="J79" s="1589"/>
      <c r="K79" s="1590"/>
      <c r="L79" s="1591"/>
      <c r="M79" s="1586"/>
      <c r="N79" s="2398">
        <f t="shared" si="69"/>
        <v>0</v>
      </c>
      <c r="O79" s="1592">
        <f t="shared" si="71"/>
        <v>0</v>
      </c>
      <c r="P79" s="1585">
        <f>O79*D77/1000</f>
        <v>0</v>
      </c>
      <c r="Q79" s="1586"/>
      <c r="R79" s="1594"/>
      <c r="S79" s="1595">
        <f t="shared" si="62"/>
        <v>0</v>
      </c>
      <c r="T79" s="1585">
        <f t="shared" si="67"/>
        <v>0</v>
      </c>
      <c r="U79" s="1587">
        <f t="shared" si="68"/>
        <v>210</v>
      </c>
      <c r="V79" s="1623">
        <f t="shared" si="72"/>
        <v>0</v>
      </c>
      <c r="W79" s="1585">
        <f t="shared" si="73"/>
        <v>0</v>
      </c>
      <c r="X79" s="1692" t="e">
        <f t="shared" si="70"/>
        <v>#DIV/0!</v>
      </c>
      <c r="Y79" s="1597"/>
      <c r="AA79" s="1698">
        <f t="shared" si="76"/>
        <v>0</v>
      </c>
    </row>
    <row r="80" spans="1:27" ht="11.25" customHeight="1">
      <c r="A80" s="1625" t="s">
        <v>590</v>
      </c>
      <c r="B80" s="1595">
        <f t="shared" si="65"/>
        <v>0</v>
      </c>
      <c r="C80" s="1585">
        <f t="shared" si="60"/>
        <v>0</v>
      </c>
      <c r="D80" s="1592">
        <f t="shared" si="66"/>
        <v>210</v>
      </c>
      <c r="E80" s="1587">
        <f t="shared" si="74"/>
        <v>0</v>
      </c>
      <c r="F80" s="1624">
        <f t="shared" si="75"/>
        <v>0</v>
      </c>
      <c r="G80" s="2393">
        <f t="shared" si="75"/>
        <v>0</v>
      </c>
      <c r="H80" s="1589"/>
      <c r="I80" s="1589"/>
      <c r="J80" s="1589"/>
      <c r="K80" s="1590"/>
      <c r="L80" s="1591"/>
      <c r="M80" s="1586"/>
      <c r="N80" s="2398">
        <f t="shared" si="69"/>
        <v>0</v>
      </c>
      <c r="O80" s="1592">
        <f t="shared" si="71"/>
        <v>0</v>
      </c>
      <c r="P80" s="1585">
        <f>O80*D78/1000</f>
        <v>0</v>
      </c>
      <c r="Q80" s="1586"/>
      <c r="R80" s="1594"/>
      <c r="S80" s="1595">
        <f t="shared" si="62"/>
        <v>0</v>
      </c>
      <c r="T80" s="1585">
        <f t="shared" si="67"/>
        <v>0</v>
      </c>
      <c r="U80" s="1587">
        <f t="shared" si="68"/>
        <v>210</v>
      </c>
      <c r="V80" s="1623">
        <f t="shared" si="72"/>
        <v>0</v>
      </c>
      <c r="W80" s="1585">
        <f t="shared" si="73"/>
        <v>0</v>
      </c>
      <c r="X80" s="1692" t="e">
        <f t="shared" si="70"/>
        <v>#DIV/0!</v>
      </c>
      <c r="Y80" s="1597"/>
      <c r="AA80" s="1698">
        <f t="shared" si="76"/>
        <v>0</v>
      </c>
    </row>
    <row r="81" spans="1:27" ht="11.25" customHeight="1">
      <c r="A81" s="1625" t="s">
        <v>591</v>
      </c>
      <c r="B81" s="1595">
        <f t="shared" si="65"/>
        <v>0</v>
      </c>
      <c r="C81" s="1585">
        <f t="shared" si="60"/>
        <v>0</v>
      </c>
      <c r="D81" s="1592">
        <v>25</v>
      </c>
      <c r="E81" s="1587"/>
      <c r="F81" s="1624">
        <f>INT(E4%*B72/2)</f>
        <v>0</v>
      </c>
      <c r="G81" s="2393">
        <f>D81*F81/1000</f>
        <v>0</v>
      </c>
      <c r="H81" s="1589"/>
      <c r="I81" s="1589"/>
      <c r="J81" s="1589"/>
      <c r="K81" s="1590"/>
      <c r="L81" s="1591"/>
      <c r="M81" s="1586"/>
      <c r="N81" s="2398">
        <f>M81*L81/1000</f>
        <v>0</v>
      </c>
      <c r="O81" s="1592">
        <f t="shared" ref="O81:O82" si="77">F81-L81-Q81</f>
        <v>0</v>
      </c>
      <c r="P81" s="1585">
        <f>O81*210/1000</f>
        <v>0</v>
      </c>
      <c r="Q81" s="1586"/>
      <c r="R81" s="1594"/>
      <c r="S81" s="1595">
        <f>B81+F81+H81+J81-L81-O81-Q81</f>
        <v>0</v>
      </c>
      <c r="T81" s="1585">
        <v>0</v>
      </c>
      <c r="U81" s="1587">
        <v>0</v>
      </c>
      <c r="V81" s="1623">
        <f>Y81/365</f>
        <v>0</v>
      </c>
      <c r="W81" s="1585">
        <f>T81+R81+P81+N81-K81-I81-G81-C81</f>
        <v>0</v>
      </c>
      <c r="X81" s="1692" t="e">
        <f>W81*10^6/Y81</f>
        <v>#DIV/0!</v>
      </c>
      <c r="Y81" s="1597"/>
      <c r="AA81" s="1698">
        <f>F81*280-L81*60-O81*30</f>
        <v>0</v>
      </c>
    </row>
    <row r="82" spans="1:27" ht="11.25" customHeight="1" thickBot="1">
      <c r="A82" s="1626" t="s">
        <v>592</v>
      </c>
      <c r="B82" s="1627">
        <f t="shared" si="65"/>
        <v>0</v>
      </c>
      <c r="C82" s="1628">
        <f t="shared" si="60"/>
        <v>0</v>
      </c>
      <c r="D82" s="1629">
        <v>25</v>
      </c>
      <c r="E82" s="1630"/>
      <c r="F82" s="1624">
        <f>INT(E4%*B72/2)</f>
        <v>0</v>
      </c>
      <c r="G82" s="2395">
        <f>D82*F82/1000</f>
        <v>0</v>
      </c>
      <c r="H82" s="1605"/>
      <c r="I82" s="1605"/>
      <c r="J82" s="1605"/>
      <c r="K82" s="1606"/>
      <c r="L82" s="1607"/>
      <c r="M82" s="1602"/>
      <c r="N82" s="2399">
        <f>M82*L82/1000</f>
        <v>0</v>
      </c>
      <c r="O82" s="1608">
        <f t="shared" si="77"/>
        <v>0</v>
      </c>
      <c r="P82" s="2401">
        <f>O82*210/1000</f>
        <v>0</v>
      </c>
      <c r="Q82" s="1602"/>
      <c r="R82" s="1609"/>
      <c r="S82" s="1604">
        <f>B82+F82+H82+J82-L82-O82-Q82</f>
        <v>0</v>
      </c>
      <c r="T82" s="2401">
        <v>0</v>
      </c>
      <c r="U82" s="1603">
        <v>0</v>
      </c>
      <c r="V82" s="2396">
        <f>Y82/365</f>
        <v>0</v>
      </c>
      <c r="W82" s="2401">
        <f>T82+R82+P82+N82-K82-I82-G82-C82</f>
        <v>0</v>
      </c>
      <c r="X82" s="1693" t="e">
        <f>W82*10^6/Y82</f>
        <v>#DIV/0!</v>
      </c>
      <c r="Y82" s="1610"/>
      <c r="AA82" s="1698">
        <f>F82*280-L82*60-O82*30</f>
        <v>0</v>
      </c>
    </row>
    <row r="83" spans="1:27" ht="11.25" customHeight="1" thickBot="1">
      <c r="A83" s="2375" t="s">
        <v>238</v>
      </c>
      <c r="B83" s="2382">
        <f>SUM(B70:B82)</f>
        <v>0</v>
      </c>
      <c r="C83" s="2383">
        <f>SUM(C70:C82)</f>
        <v>0</v>
      </c>
      <c r="D83" s="2384" t="s">
        <v>221</v>
      </c>
      <c r="E83" s="2385">
        <f>SUM(E70:E82)</f>
        <v>0</v>
      </c>
      <c r="F83" s="2376">
        <f t="shared" ref="F83:L83" si="78">SUM(F70:F82)</f>
        <v>0</v>
      </c>
      <c r="G83" s="2400">
        <f t="shared" si="78"/>
        <v>0</v>
      </c>
      <c r="H83" s="2377">
        <f t="shared" si="78"/>
        <v>0</v>
      </c>
      <c r="I83" s="2377">
        <f t="shared" si="78"/>
        <v>0</v>
      </c>
      <c r="J83" s="2377">
        <f t="shared" si="78"/>
        <v>0</v>
      </c>
      <c r="K83" s="2379">
        <f t="shared" si="78"/>
        <v>0</v>
      </c>
      <c r="L83" s="2376">
        <f t="shared" si="78"/>
        <v>0</v>
      </c>
      <c r="M83" s="2380" t="e">
        <f>N83/L83*1000</f>
        <v>#DIV/0!</v>
      </c>
      <c r="N83" s="2400">
        <f t="shared" ref="N83:T83" si="79">SUM(N70:N82)</f>
        <v>0</v>
      </c>
      <c r="O83" s="2377">
        <f t="shared" si="79"/>
        <v>0</v>
      </c>
      <c r="P83" s="2400">
        <f t="shared" si="79"/>
        <v>0</v>
      </c>
      <c r="Q83" s="2377">
        <f t="shared" si="79"/>
        <v>0</v>
      </c>
      <c r="R83" s="2379">
        <f t="shared" si="79"/>
        <v>0</v>
      </c>
      <c r="S83" s="2376">
        <f t="shared" si="79"/>
        <v>0</v>
      </c>
      <c r="T83" s="2400">
        <f t="shared" si="79"/>
        <v>0</v>
      </c>
      <c r="U83" s="2379" t="s">
        <v>221</v>
      </c>
      <c r="V83" s="2397">
        <f t="shared" ref="V83:W83" si="80">SUM(V70:V82)</f>
        <v>0</v>
      </c>
      <c r="W83" s="2400">
        <f t="shared" si="80"/>
        <v>0</v>
      </c>
      <c r="X83" s="2377" t="s">
        <v>221</v>
      </c>
      <c r="Y83" s="2381">
        <f t="shared" ref="Y83" si="81">SUM(Y70:Y82)</f>
        <v>0</v>
      </c>
    </row>
    <row r="84" spans="1:27" ht="6.75" customHeight="1"/>
    <row r="85" spans="1:27" ht="16.5" thickBot="1">
      <c r="A85" s="1642" t="s">
        <v>668</v>
      </c>
    </row>
    <row r="86" spans="1:27" ht="11.25" customHeight="1">
      <c r="A86" s="1964" t="s">
        <v>284</v>
      </c>
      <c r="B86" s="1967" t="s">
        <v>285</v>
      </c>
      <c r="C86" s="1968"/>
      <c r="D86" s="1968"/>
      <c r="E86" s="1969"/>
      <c r="F86" s="1967" t="s">
        <v>245</v>
      </c>
      <c r="G86" s="1968"/>
      <c r="H86" s="1968"/>
      <c r="I86" s="1968"/>
      <c r="J86" s="1968"/>
      <c r="K86" s="1969"/>
      <c r="L86" s="1967" t="s">
        <v>250</v>
      </c>
      <c r="M86" s="1968"/>
      <c r="N86" s="1968"/>
      <c r="O86" s="1968"/>
      <c r="P86" s="1968"/>
      <c r="Q86" s="1968"/>
      <c r="R86" s="1969"/>
      <c r="S86" s="1967" t="s">
        <v>653</v>
      </c>
      <c r="T86" s="1968"/>
      <c r="U86" s="1969"/>
      <c r="V86" s="1959" t="s">
        <v>654</v>
      </c>
      <c r="W86" s="1962" t="s">
        <v>655</v>
      </c>
      <c r="X86" s="1963" t="s">
        <v>637</v>
      </c>
      <c r="Y86" s="1947" t="s">
        <v>256</v>
      </c>
    </row>
    <row r="87" spans="1:27" ht="45" customHeight="1">
      <c r="A87" s="1965"/>
      <c r="B87" s="1950" t="s">
        <v>292</v>
      </c>
      <c r="C87" s="1952" t="s">
        <v>242</v>
      </c>
      <c r="D87" s="1954" t="s">
        <v>656</v>
      </c>
      <c r="E87" s="1948" t="s">
        <v>657</v>
      </c>
      <c r="F87" s="1956" t="s">
        <v>658</v>
      </c>
      <c r="G87" s="1957"/>
      <c r="H87" s="1957" t="s">
        <v>659</v>
      </c>
      <c r="I87" s="1957"/>
      <c r="J87" s="1957" t="s">
        <v>660</v>
      </c>
      <c r="K87" s="1958"/>
      <c r="L87" s="1956" t="s">
        <v>299</v>
      </c>
      <c r="M87" s="1957"/>
      <c r="N87" s="1957"/>
      <c r="O87" s="1957" t="s">
        <v>661</v>
      </c>
      <c r="P87" s="1957"/>
      <c r="Q87" s="1957" t="s">
        <v>635</v>
      </c>
      <c r="R87" s="1958"/>
      <c r="S87" s="1950" t="s">
        <v>292</v>
      </c>
      <c r="T87" s="1952" t="s">
        <v>242</v>
      </c>
      <c r="U87" s="1948" t="s">
        <v>656</v>
      </c>
      <c r="V87" s="1960"/>
      <c r="W87" s="1952"/>
      <c r="X87" s="1954"/>
      <c r="Y87" s="1948"/>
    </row>
    <row r="88" spans="1:27" ht="33" customHeight="1" thickBot="1">
      <c r="A88" s="1966"/>
      <c r="B88" s="1951"/>
      <c r="C88" s="1953"/>
      <c r="D88" s="1955"/>
      <c r="E88" s="1949"/>
      <c r="F88" s="1560" t="s">
        <v>662</v>
      </c>
      <c r="G88" s="1561" t="s">
        <v>242</v>
      </c>
      <c r="H88" s="1562" t="s">
        <v>662</v>
      </c>
      <c r="I88" s="1561" t="s">
        <v>242</v>
      </c>
      <c r="J88" s="1562" t="s">
        <v>662</v>
      </c>
      <c r="K88" s="1563" t="s">
        <v>242</v>
      </c>
      <c r="L88" s="1560" t="s">
        <v>662</v>
      </c>
      <c r="M88" s="1561" t="s">
        <v>663</v>
      </c>
      <c r="N88" s="1561" t="s">
        <v>242</v>
      </c>
      <c r="O88" s="1562" t="s">
        <v>662</v>
      </c>
      <c r="P88" s="1561" t="s">
        <v>242</v>
      </c>
      <c r="Q88" s="1562" t="s">
        <v>662</v>
      </c>
      <c r="R88" s="1563" t="s">
        <v>242</v>
      </c>
      <c r="S88" s="1951"/>
      <c r="T88" s="1953"/>
      <c r="U88" s="1949"/>
      <c r="V88" s="1961"/>
      <c r="W88" s="1953"/>
      <c r="X88" s="1955"/>
      <c r="Y88" s="1949"/>
    </row>
    <row r="89" spans="1:27" ht="8.25" customHeight="1" thickBot="1">
      <c r="A89" s="1564" t="s">
        <v>305</v>
      </c>
      <c r="B89" s="1612">
        <v>1</v>
      </c>
      <c r="C89" s="1613">
        <v>2</v>
      </c>
      <c r="D89" s="1613">
        <v>3</v>
      </c>
      <c r="E89" s="1614">
        <v>4</v>
      </c>
      <c r="F89" s="1565">
        <v>5</v>
      </c>
      <c r="G89" s="1566">
        <v>6</v>
      </c>
      <c r="H89" s="1566">
        <v>7</v>
      </c>
      <c r="I89" s="1566">
        <v>8</v>
      </c>
      <c r="J89" s="1566">
        <v>9</v>
      </c>
      <c r="K89" s="1567">
        <v>10</v>
      </c>
      <c r="L89" s="1565">
        <v>11</v>
      </c>
      <c r="M89" s="1566">
        <v>12</v>
      </c>
      <c r="N89" s="1566">
        <v>13</v>
      </c>
      <c r="O89" s="1566">
        <v>14</v>
      </c>
      <c r="P89" s="1566">
        <v>15</v>
      </c>
      <c r="Q89" s="1566">
        <v>16</v>
      </c>
      <c r="R89" s="1567">
        <v>17</v>
      </c>
      <c r="S89" s="1565">
        <v>18</v>
      </c>
      <c r="T89" s="1566">
        <v>19</v>
      </c>
      <c r="U89" s="1567">
        <v>20</v>
      </c>
      <c r="V89" s="1568">
        <v>21</v>
      </c>
      <c r="W89" s="1566">
        <v>22</v>
      </c>
      <c r="X89" s="1566">
        <v>23</v>
      </c>
      <c r="Y89" s="1567">
        <v>24</v>
      </c>
    </row>
    <row r="90" spans="1:27" ht="11.25" customHeight="1">
      <c r="A90" s="1615" t="s">
        <v>580</v>
      </c>
      <c r="B90" s="1616">
        <f>S70</f>
        <v>0</v>
      </c>
      <c r="C90" s="1617">
        <f t="shared" ref="C90:D102" si="82">T70</f>
        <v>0</v>
      </c>
      <c r="D90" s="1618">
        <f t="shared" si="82"/>
        <v>460</v>
      </c>
      <c r="E90" s="1619">
        <f>B90*43</f>
        <v>0</v>
      </c>
      <c r="F90" s="1581"/>
      <c r="G90" s="1574"/>
      <c r="H90" s="1575"/>
      <c r="I90" s="1575"/>
      <c r="J90" s="1575"/>
      <c r="K90" s="1576"/>
      <c r="L90" s="1577"/>
      <c r="M90" s="1620"/>
      <c r="N90" s="2398">
        <f t="shared" ref="N90:N91" si="83">M90*L90/1000</f>
        <v>0</v>
      </c>
      <c r="O90" s="1620"/>
      <c r="P90" s="1572"/>
      <c r="Q90" s="1572"/>
      <c r="R90" s="1579"/>
      <c r="S90" s="1580">
        <f>B90+F90+H90+J90-L90-O90-Q90</f>
        <v>0</v>
      </c>
      <c r="T90" s="1571">
        <f>S90*D90/1000</f>
        <v>0</v>
      </c>
      <c r="U90" s="1573">
        <f>D90</f>
        <v>460</v>
      </c>
      <c r="V90" s="1621">
        <f t="shared" ref="V90:V93" si="84">Y90/365</f>
        <v>0</v>
      </c>
      <c r="W90" s="1578"/>
      <c r="X90" s="2392"/>
      <c r="Y90" s="1582"/>
      <c r="AA90" s="1698">
        <f t="shared" ref="AA90:AA91" si="85">B90*365+F90*280-L90*305</f>
        <v>0</v>
      </c>
    </row>
    <row r="91" spans="1:27" ht="11.25" customHeight="1">
      <c r="A91" s="1622" t="s">
        <v>581</v>
      </c>
      <c r="B91" s="1595">
        <f t="shared" ref="B91:B102" si="86">S71</f>
        <v>0</v>
      </c>
      <c r="C91" s="1585">
        <f t="shared" si="82"/>
        <v>0</v>
      </c>
      <c r="D91" s="1592">
        <f t="shared" ref="D91:D100" si="87">U71</f>
        <v>480</v>
      </c>
      <c r="E91" s="1587">
        <f>C91*43</f>
        <v>0</v>
      </c>
      <c r="F91" s="1596"/>
      <c r="G91" s="1596"/>
      <c r="H91" s="1589"/>
      <c r="I91" s="1589"/>
      <c r="J91" s="1589"/>
      <c r="K91" s="1590"/>
      <c r="L91" s="1591"/>
      <c r="M91" s="1586"/>
      <c r="N91" s="2398">
        <f t="shared" si="83"/>
        <v>0</v>
      </c>
      <c r="O91" s="2366"/>
      <c r="P91" s="1586"/>
      <c r="Q91" s="1586"/>
      <c r="R91" s="1594"/>
      <c r="S91" s="1595">
        <f>B91+F91+H91+J91-L91-O91-Q91</f>
        <v>0</v>
      </c>
      <c r="T91" s="1585">
        <f t="shared" ref="T91:T100" si="88">S91*D91/1000</f>
        <v>0</v>
      </c>
      <c r="U91" s="1587">
        <f t="shared" ref="U91:U100" si="89">D91</f>
        <v>480</v>
      </c>
      <c r="V91" s="1623">
        <f t="shared" si="84"/>
        <v>0</v>
      </c>
      <c r="W91" s="1593"/>
      <c r="X91" s="2392"/>
      <c r="Y91" s="1597"/>
      <c r="AA91" s="1698">
        <f t="shared" si="85"/>
        <v>0</v>
      </c>
    </row>
    <row r="92" spans="1:27" ht="11.25" customHeight="1">
      <c r="A92" s="1622" t="s">
        <v>582</v>
      </c>
      <c r="B92" s="1595">
        <f t="shared" si="86"/>
        <v>0</v>
      </c>
      <c r="C92" s="1585">
        <f t="shared" si="82"/>
        <v>0</v>
      </c>
      <c r="D92" s="1592">
        <f t="shared" si="87"/>
        <v>430</v>
      </c>
      <c r="E92" s="1587">
        <f>B92*36</f>
        <v>0</v>
      </c>
      <c r="F92" s="1631">
        <f>O96</f>
        <v>0</v>
      </c>
      <c r="G92" s="2393">
        <f>P96</f>
        <v>0</v>
      </c>
      <c r="H92" s="1589"/>
      <c r="I92" s="1589"/>
      <c r="J92" s="1589"/>
      <c r="K92" s="1590"/>
      <c r="L92" s="1591"/>
      <c r="M92" s="1586"/>
      <c r="N92" s="2398">
        <f>M92*L92/1000</f>
        <v>0</v>
      </c>
      <c r="O92" s="1586"/>
      <c r="P92" s="1586"/>
      <c r="Q92" s="1586"/>
      <c r="R92" s="1594"/>
      <c r="S92" s="1595">
        <f t="shared" ref="S92:S100" si="90">B92+F92+H92+J92-L92-O92-Q92</f>
        <v>0</v>
      </c>
      <c r="T92" s="1585">
        <f t="shared" si="88"/>
        <v>0</v>
      </c>
      <c r="U92" s="1587">
        <f t="shared" si="89"/>
        <v>430</v>
      </c>
      <c r="V92" s="1623">
        <f t="shared" si="84"/>
        <v>0</v>
      </c>
      <c r="W92" s="1593"/>
      <c r="X92" s="2392"/>
      <c r="Y92" s="1597"/>
      <c r="AA92" s="1698">
        <f>B92*365+F92*280-L92*305</f>
        <v>0</v>
      </c>
    </row>
    <row r="93" spans="1:27" ht="11.25" customHeight="1">
      <c r="A93" s="1622" t="s">
        <v>583</v>
      </c>
      <c r="B93" s="1595">
        <f t="shared" si="86"/>
        <v>0</v>
      </c>
      <c r="C93" s="1585">
        <f t="shared" si="82"/>
        <v>0</v>
      </c>
      <c r="D93" s="1592">
        <f t="shared" si="87"/>
        <v>0</v>
      </c>
      <c r="E93" s="1587"/>
      <c r="F93" s="2387">
        <f>O90+O91+O92</f>
        <v>0</v>
      </c>
      <c r="G93" s="2394">
        <f>P90+P91+P92</f>
        <v>0</v>
      </c>
      <c r="H93" s="1589"/>
      <c r="I93" s="1589"/>
      <c r="J93" s="1589"/>
      <c r="K93" s="1590"/>
      <c r="L93" s="1591"/>
      <c r="M93" s="1586"/>
      <c r="N93" s="2398">
        <f t="shared" ref="N93:N100" si="91">M93*L93/1000</f>
        <v>0</v>
      </c>
      <c r="O93" s="1593"/>
      <c r="P93" s="1593"/>
      <c r="Q93" s="1586"/>
      <c r="R93" s="1594"/>
      <c r="S93" s="1595">
        <f t="shared" si="90"/>
        <v>0</v>
      </c>
      <c r="T93" s="1585">
        <f t="shared" si="88"/>
        <v>0</v>
      </c>
      <c r="U93" s="1587">
        <f t="shared" si="89"/>
        <v>0</v>
      </c>
      <c r="V93" s="1623">
        <f t="shared" si="84"/>
        <v>0</v>
      </c>
      <c r="W93" s="1585">
        <f>T93+R93+P93+N93-K93-I93-G93-C93</f>
        <v>0</v>
      </c>
      <c r="X93" s="1692" t="e">
        <f t="shared" ref="X91:X100" si="92">W93*10^6/Y93</f>
        <v>#DIV/0!</v>
      </c>
      <c r="Y93" s="1597"/>
      <c r="AA93" s="1698">
        <f>B93*365+F93*280</f>
        <v>0</v>
      </c>
    </row>
    <row r="94" spans="1:27" ht="11.25" customHeight="1">
      <c r="A94" s="1625" t="s">
        <v>584</v>
      </c>
      <c r="B94" s="1595">
        <f t="shared" si="86"/>
        <v>0</v>
      </c>
      <c r="C94" s="1585">
        <f t="shared" si="82"/>
        <v>0</v>
      </c>
      <c r="D94" s="1592">
        <f t="shared" si="87"/>
        <v>450</v>
      </c>
      <c r="E94" s="1587">
        <f>C94*64</f>
        <v>0</v>
      </c>
      <c r="F94" s="1631">
        <f>O95</f>
        <v>0</v>
      </c>
      <c r="G94" s="2393">
        <f>P95</f>
        <v>0</v>
      </c>
      <c r="H94" s="1589"/>
      <c r="I94" s="1589"/>
      <c r="J94" s="1589"/>
      <c r="K94" s="1590"/>
      <c r="L94" s="1591"/>
      <c r="M94" s="1586"/>
      <c r="N94" s="2398">
        <f t="shared" si="91"/>
        <v>0</v>
      </c>
      <c r="O94" s="1592">
        <f t="shared" ref="O94:O96" si="93">B94-L94-Q94</f>
        <v>0</v>
      </c>
      <c r="P94" s="1586"/>
      <c r="Q94" s="1586"/>
      <c r="R94" s="1594"/>
      <c r="S94" s="1595">
        <f t="shared" si="90"/>
        <v>0</v>
      </c>
      <c r="T94" s="1585">
        <f t="shared" si="88"/>
        <v>0</v>
      </c>
      <c r="U94" s="1587">
        <f t="shared" si="89"/>
        <v>450</v>
      </c>
      <c r="V94" s="1623">
        <f t="shared" ref="V94:V100" si="94">Y94/365</f>
        <v>0</v>
      </c>
      <c r="W94" s="1585">
        <f t="shared" ref="W94:W100" si="95">T94+R94+P94+N94-K94-I94-G94-C94</f>
        <v>0</v>
      </c>
      <c r="X94" s="1692" t="e">
        <f t="shared" si="92"/>
        <v>#DIV/0!</v>
      </c>
      <c r="Y94" s="1597"/>
      <c r="AA94" s="1698">
        <f>B94*365+F94*30-L94*60</f>
        <v>0</v>
      </c>
    </row>
    <row r="95" spans="1:27" ht="11.25" customHeight="1">
      <c r="A95" s="1625" t="s">
        <v>585</v>
      </c>
      <c r="B95" s="1595">
        <f t="shared" si="86"/>
        <v>0</v>
      </c>
      <c r="C95" s="1585">
        <f t="shared" si="82"/>
        <v>0</v>
      </c>
      <c r="D95" s="1592">
        <f t="shared" si="87"/>
        <v>410</v>
      </c>
      <c r="E95" s="1587">
        <f t="shared" ref="E95:E100" si="96">C95*64</f>
        <v>0</v>
      </c>
      <c r="F95" s="1631">
        <f t="shared" ref="F95:G100" si="97">O97</f>
        <v>0</v>
      </c>
      <c r="G95" s="2393">
        <f t="shared" si="97"/>
        <v>0</v>
      </c>
      <c r="H95" s="1589"/>
      <c r="I95" s="1589"/>
      <c r="J95" s="1589"/>
      <c r="K95" s="1590"/>
      <c r="L95" s="1591"/>
      <c r="M95" s="1586"/>
      <c r="N95" s="2398">
        <f t="shared" si="91"/>
        <v>0</v>
      </c>
      <c r="O95" s="1592">
        <f t="shared" si="93"/>
        <v>0</v>
      </c>
      <c r="P95" s="1585">
        <f>O95*D94/1000</f>
        <v>0</v>
      </c>
      <c r="Q95" s="1586"/>
      <c r="R95" s="1594"/>
      <c r="S95" s="1595">
        <f t="shared" si="90"/>
        <v>0</v>
      </c>
      <c r="T95" s="1585">
        <f t="shared" si="88"/>
        <v>0</v>
      </c>
      <c r="U95" s="1587">
        <f t="shared" si="89"/>
        <v>410</v>
      </c>
      <c r="V95" s="1623">
        <f t="shared" si="94"/>
        <v>0</v>
      </c>
      <c r="W95" s="1585">
        <f t="shared" si="95"/>
        <v>0</v>
      </c>
      <c r="X95" s="1692" t="e">
        <f t="shared" si="92"/>
        <v>#DIV/0!</v>
      </c>
      <c r="Y95" s="1597"/>
      <c r="AA95" s="1698">
        <f>B95*365+F95*30-L95*60-O95*30</f>
        <v>0</v>
      </c>
    </row>
    <row r="96" spans="1:27" ht="11.25" customHeight="1">
      <c r="A96" s="1625" t="s">
        <v>586</v>
      </c>
      <c r="B96" s="1595">
        <f t="shared" si="86"/>
        <v>0</v>
      </c>
      <c r="C96" s="1585">
        <f t="shared" si="82"/>
        <v>0</v>
      </c>
      <c r="D96" s="1592">
        <f t="shared" si="87"/>
        <v>380</v>
      </c>
      <c r="E96" s="1587">
        <f t="shared" si="96"/>
        <v>0</v>
      </c>
      <c r="F96" s="1631">
        <f t="shared" si="97"/>
        <v>0</v>
      </c>
      <c r="G96" s="2393">
        <f t="shared" si="97"/>
        <v>0</v>
      </c>
      <c r="H96" s="1589"/>
      <c r="I96" s="1589"/>
      <c r="J96" s="1589"/>
      <c r="K96" s="1590"/>
      <c r="L96" s="1591"/>
      <c r="M96" s="1586"/>
      <c r="N96" s="2398">
        <f>M96*L96/1000</f>
        <v>0</v>
      </c>
      <c r="O96" s="1592">
        <f t="shared" si="93"/>
        <v>0</v>
      </c>
      <c r="P96" s="1585">
        <f>O96*D92/1000</f>
        <v>0</v>
      </c>
      <c r="Q96" s="1586"/>
      <c r="R96" s="1594"/>
      <c r="S96" s="1595">
        <f t="shared" si="90"/>
        <v>0</v>
      </c>
      <c r="T96" s="1585">
        <f t="shared" si="88"/>
        <v>0</v>
      </c>
      <c r="U96" s="1587">
        <f t="shared" si="89"/>
        <v>380</v>
      </c>
      <c r="V96" s="1623">
        <f t="shared" si="94"/>
        <v>0</v>
      </c>
      <c r="W96" s="1585">
        <f t="shared" si="95"/>
        <v>0</v>
      </c>
      <c r="X96" s="1692" t="e">
        <f>W96*10^6/Y96</f>
        <v>#DIV/0!</v>
      </c>
      <c r="Y96" s="1597"/>
      <c r="AA96" s="1698">
        <f t="shared" ref="AA96:AA100" si="98">B96*365+F96*30-L96*60-O96*30</f>
        <v>0</v>
      </c>
    </row>
    <row r="97" spans="1:27" ht="11.25" customHeight="1">
      <c r="A97" s="1625" t="s">
        <v>587</v>
      </c>
      <c r="B97" s="1595">
        <f t="shared" si="86"/>
        <v>0</v>
      </c>
      <c r="C97" s="1585">
        <f t="shared" si="82"/>
        <v>0</v>
      </c>
      <c r="D97" s="1592">
        <f t="shared" si="87"/>
        <v>350</v>
      </c>
      <c r="E97" s="1587">
        <f t="shared" si="96"/>
        <v>0</v>
      </c>
      <c r="F97" s="1631">
        <f t="shared" si="97"/>
        <v>0</v>
      </c>
      <c r="G97" s="2393">
        <f t="shared" si="97"/>
        <v>0</v>
      </c>
      <c r="H97" s="1589"/>
      <c r="I97" s="1589"/>
      <c r="J97" s="1589"/>
      <c r="K97" s="1590"/>
      <c r="L97" s="1591"/>
      <c r="M97" s="1586"/>
      <c r="N97" s="2398">
        <f t="shared" si="91"/>
        <v>0</v>
      </c>
      <c r="O97" s="1592">
        <f t="shared" ref="O97:O102" si="99">F97-L97-Q97</f>
        <v>0</v>
      </c>
      <c r="P97" s="1585">
        <f>O97*D95/1000</f>
        <v>0</v>
      </c>
      <c r="Q97" s="1586"/>
      <c r="R97" s="1594"/>
      <c r="S97" s="1595">
        <f t="shared" si="90"/>
        <v>0</v>
      </c>
      <c r="T97" s="1585">
        <f t="shared" si="88"/>
        <v>0</v>
      </c>
      <c r="U97" s="1587">
        <f t="shared" si="89"/>
        <v>350</v>
      </c>
      <c r="V97" s="1623">
        <f t="shared" si="94"/>
        <v>0</v>
      </c>
      <c r="W97" s="1585">
        <f t="shared" si="95"/>
        <v>0</v>
      </c>
      <c r="X97" s="1692" t="e">
        <f t="shared" si="92"/>
        <v>#DIV/0!</v>
      </c>
      <c r="Y97" s="1597"/>
      <c r="AA97" s="1698">
        <f t="shared" si="98"/>
        <v>0</v>
      </c>
    </row>
    <row r="98" spans="1:27" ht="11.25" customHeight="1">
      <c r="A98" s="1625" t="s">
        <v>588</v>
      </c>
      <c r="B98" s="1595">
        <f t="shared" si="86"/>
        <v>0</v>
      </c>
      <c r="C98" s="1585">
        <f t="shared" si="82"/>
        <v>0</v>
      </c>
      <c r="D98" s="1592">
        <f t="shared" si="87"/>
        <v>320</v>
      </c>
      <c r="E98" s="1587">
        <f t="shared" si="96"/>
        <v>0</v>
      </c>
      <c r="F98" s="1631">
        <f t="shared" si="97"/>
        <v>0</v>
      </c>
      <c r="G98" s="2393">
        <f t="shared" si="97"/>
        <v>0</v>
      </c>
      <c r="H98" s="1589"/>
      <c r="I98" s="1589"/>
      <c r="J98" s="1589"/>
      <c r="K98" s="1590"/>
      <c r="L98" s="1591"/>
      <c r="M98" s="1586"/>
      <c r="N98" s="2398">
        <f t="shared" si="91"/>
        <v>0</v>
      </c>
      <c r="O98" s="1592">
        <f t="shared" si="99"/>
        <v>0</v>
      </c>
      <c r="P98" s="1585">
        <f>O98*D96/1000</f>
        <v>0</v>
      </c>
      <c r="Q98" s="1586"/>
      <c r="R98" s="1594"/>
      <c r="S98" s="1595">
        <f t="shared" si="90"/>
        <v>0</v>
      </c>
      <c r="T98" s="1585">
        <f t="shared" si="88"/>
        <v>0</v>
      </c>
      <c r="U98" s="1587">
        <f t="shared" si="89"/>
        <v>320</v>
      </c>
      <c r="V98" s="1623">
        <f t="shared" si="94"/>
        <v>0</v>
      </c>
      <c r="W98" s="1585">
        <f t="shared" si="95"/>
        <v>0</v>
      </c>
      <c r="X98" s="1692" t="e">
        <f t="shared" si="92"/>
        <v>#DIV/0!</v>
      </c>
      <c r="Y98" s="1597"/>
      <c r="AA98" s="1698">
        <f t="shared" si="98"/>
        <v>0</v>
      </c>
    </row>
    <row r="99" spans="1:27" ht="11.25" customHeight="1">
      <c r="A99" s="1625" t="s">
        <v>589</v>
      </c>
      <c r="B99" s="1595">
        <f t="shared" si="86"/>
        <v>0</v>
      </c>
      <c r="C99" s="1585">
        <f t="shared" si="82"/>
        <v>0</v>
      </c>
      <c r="D99" s="1592">
        <f t="shared" si="87"/>
        <v>210</v>
      </c>
      <c r="E99" s="1587">
        <f t="shared" si="96"/>
        <v>0</v>
      </c>
      <c r="F99" s="1631">
        <f t="shared" si="97"/>
        <v>0</v>
      </c>
      <c r="G99" s="2393">
        <f t="shared" si="97"/>
        <v>0</v>
      </c>
      <c r="H99" s="1589"/>
      <c r="I99" s="1589"/>
      <c r="J99" s="1589"/>
      <c r="K99" s="1590"/>
      <c r="L99" s="1591"/>
      <c r="M99" s="1586"/>
      <c r="N99" s="2398">
        <f t="shared" si="91"/>
        <v>0</v>
      </c>
      <c r="O99" s="1592">
        <f t="shared" si="99"/>
        <v>0</v>
      </c>
      <c r="P99" s="1585">
        <f>O99*D97/1000</f>
        <v>0</v>
      </c>
      <c r="Q99" s="1586"/>
      <c r="R99" s="1594"/>
      <c r="S99" s="1595">
        <f t="shared" si="90"/>
        <v>0</v>
      </c>
      <c r="T99" s="1585">
        <f t="shared" si="88"/>
        <v>0</v>
      </c>
      <c r="U99" s="1587">
        <f t="shared" si="89"/>
        <v>210</v>
      </c>
      <c r="V99" s="1623">
        <f t="shared" si="94"/>
        <v>0</v>
      </c>
      <c r="W99" s="1585">
        <f t="shared" si="95"/>
        <v>0</v>
      </c>
      <c r="X99" s="1692" t="e">
        <f t="shared" si="92"/>
        <v>#DIV/0!</v>
      </c>
      <c r="Y99" s="1597"/>
      <c r="AA99" s="1698">
        <f t="shared" si="98"/>
        <v>0</v>
      </c>
    </row>
    <row r="100" spans="1:27" ht="11.25" customHeight="1">
      <c r="A100" s="1625" t="s">
        <v>590</v>
      </c>
      <c r="B100" s="1595">
        <f t="shared" si="86"/>
        <v>0</v>
      </c>
      <c r="C100" s="1585">
        <f t="shared" si="82"/>
        <v>0</v>
      </c>
      <c r="D100" s="1592">
        <f t="shared" si="87"/>
        <v>210</v>
      </c>
      <c r="E100" s="1587">
        <f t="shared" si="96"/>
        <v>0</v>
      </c>
      <c r="F100" s="1631">
        <f t="shared" si="97"/>
        <v>0</v>
      </c>
      <c r="G100" s="2393">
        <f t="shared" si="97"/>
        <v>0</v>
      </c>
      <c r="H100" s="1589"/>
      <c r="I100" s="1589"/>
      <c r="J100" s="1589"/>
      <c r="K100" s="1590"/>
      <c r="L100" s="1591"/>
      <c r="M100" s="1586"/>
      <c r="N100" s="2398">
        <f t="shared" si="91"/>
        <v>0</v>
      </c>
      <c r="O100" s="1592">
        <f t="shared" si="99"/>
        <v>0</v>
      </c>
      <c r="P100" s="1585">
        <f>O100*D98/1000</f>
        <v>0</v>
      </c>
      <c r="Q100" s="1586"/>
      <c r="R100" s="1594"/>
      <c r="S100" s="1595">
        <f t="shared" si="90"/>
        <v>0</v>
      </c>
      <c r="T100" s="1585">
        <f t="shared" si="88"/>
        <v>0</v>
      </c>
      <c r="U100" s="1587">
        <f t="shared" si="89"/>
        <v>210</v>
      </c>
      <c r="V100" s="1623">
        <f t="shared" si="94"/>
        <v>0</v>
      </c>
      <c r="W100" s="1585">
        <f t="shared" si="95"/>
        <v>0</v>
      </c>
      <c r="X100" s="1692" t="e">
        <f t="shared" si="92"/>
        <v>#DIV/0!</v>
      </c>
      <c r="Y100" s="1597"/>
      <c r="AA100" s="1698">
        <f t="shared" si="98"/>
        <v>0</v>
      </c>
    </row>
    <row r="101" spans="1:27" ht="11.25" customHeight="1">
      <c r="A101" s="1625" t="s">
        <v>591</v>
      </c>
      <c r="B101" s="1595">
        <f t="shared" si="86"/>
        <v>0</v>
      </c>
      <c r="C101" s="1585">
        <f t="shared" si="82"/>
        <v>0</v>
      </c>
      <c r="D101" s="1592">
        <v>25</v>
      </c>
      <c r="E101" s="1587"/>
      <c r="F101" s="1624">
        <f>INT(F4%*B92/2)</f>
        <v>0</v>
      </c>
      <c r="G101" s="2393">
        <f>D101*F101/1000</f>
        <v>0</v>
      </c>
      <c r="H101" s="1589"/>
      <c r="I101" s="1589"/>
      <c r="J101" s="1589"/>
      <c r="K101" s="1590"/>
      <c r="L101" s="1591"/>
      <c r="M101" s="1586"/>
      <c r="N101" s="2398">
        <f>M101*L101/1000</f>
        <v>0</v>
      </c>
      <c r="O101" s="1592">
        <f t="shared" si="99"/>
        <v>0</v>
      </c>
      <c r="P101" s="1585">
        <f>O101*210/1000</f>
        <v>0</v>
      </c>
      <c r="Q101" s="1586"/>
      <c r="R101" s="1594"/>
      <c r="S101" s="1595">
        <f>B101+F101+H101+J101-L101-O101-Q101</f>
        <v>0</v>
      </c>
      <c r="T101" s="1585">
        <v>0</v>
      </c>
      <c r="U101" s="1587">
        <v>0</v>
      </c>
      <c r="V101" s="1623">
        <f>Y101/365</f>
        <v>0</v>
      </c>
      <c r="W101" s="1585">
        <f>T101+R101+P101+N101-K101-I101-G101-C101</f>
        <v>0</v>
      </c>
      <c r="X101" s="1692" t="e">
        <f>W101*10^6/Y101</f>
        <v>#DIV/0!</v>
      </c>
      <c r="Y101" s="1597"/>
      <c r="AA101" s="1698">
        <f>F101*280-L101*60-O101*30</f>
        <v>0</v>
      </c>
    </row>
    <row r="102" spans="1:27" ht="11.25" customHeight="1" thickBot="1">
      <c r="A102" s="1626" t="s">
        <v>592</v>
      </c>
      <c r="B102" s="1627">
        <f t="shared" si="86"/>
        <v>0</v>
      </c>
      <c r="C102" s="1628">
        <f t="shared" si="82"/>
        <v>0</v>
      </c>
      <c r="D102" s="1629">
        <v>25</v>
      </c>
      <c r="E102" s="1630"/>
      <c r="F102" s="1624">
        <f>INT(F4%*B92/2)</f>
        <v>0</v>
      </c>
      <c r="G102" s="2395">
        <f>D102*F102/1000</f>
        <v>0</v>
      </c>
      <c r="H102" s="1605"/>
      <c r="I102" s="1605"/>
      <c r="J102" s="1605"/>
      <c r="K102" s="1606"/>
      <c r="L102" s="1607"/>
      <c r="M102" s="1602"/>
      <c r="N102" s="2399">
        <f>M102*L102/1000</f>
        <v>0</v>
      </c>
      <c r="O102" s="1608">
        <f t="shared" si="99"/>
        <v>0</v>
      </c>
      <c r="P102" s="2401">
        <f>O102*210/1000</f>
        <v>0</v>
      </c>
      <c r="Q102" s="1602"/>
      <c r="R102" s="1609"/>
      <c r="S102" s="1604">
        <f>B102+F102+H102+J102-L102-O102-Q102</f>
        <v>0</v>
      </c>
      <c r="T102" s="2401">
        <v>0</v>
      </c>
      <c r="U102" s="1603">
        <v>0</v>
      </c>
      <c r="V102" s="2396">
        <f>Y102/365</f>
        <v>0</v>
      </c>
      <c r="W102" s="2401">
        <f>T102+R102+P102+N102-K102-I102-G102-C102</f>
        <v>0</v>
      </c>
      <c r="X102" s="1693" t="e">
        <f>W102*10^6/Y102</f>
        <v>#DIV/0!</v>
      </c>
      <c r="Y102" s="1610"/>
      <c r="AA102" s="1698">
        <f>F102*280-L102*60-O102*30</f>
        <v>0</v>
      </c>
    </row>
    <row r="103" spans="1:27" ht="11.25" customHeight="1" thickBot="1">
      <c r="A103" s="2375" t="s">
        <v>238</v>
      </c>
      <c r="B103" s="2382">
        <f>SUM(B90:B102)</f>
        <v>0</v>
      </c>
      <c r="C103" s="2383">
        <f>SUM(C90:C102)</f>
        <v>0</v>
      </c>
      <c r="D103" s="2384" t="s">
        <v>221</v>
      </c>
      <c r="E103" s="2385">
        <f>SUM(E90:E102)</f>
        <v>0</v>
      </c>
      <c r="F103" s="2376">
        <f>SUM(F90:F102)</f>
        <v>0</v>
      </c>
      <c r="G103" s="2400">
        <f>SUM(G90:G102)</f>
        <v>0</v>
      </c>
      <c r="H103" s="2377">
        <f t="shared" ref="H103:L103" si="100">SUM(H90:H102)</f>
        <v>0</v>
      </c>
      <c r="I103" s="2377">
        <f t="shared" si="100"/>
        <v>0</v>
      </c>
      <c r="J103" s="2377">
        <f t="shared" si="100"/>
        <v>0</v>
      </c>
      <c r="K103" s="2379">
        <f t="shared" si="100"/>
        <v>0</v>
      </c>
      <c r="L103" s="2376">
        <f t="shared" si="100"/>
        <v>0</v>
      </c>
      <c r="M103" s="2380" t="e">
        <f>N103/L103*1000</f>
        <v>#DIV/0!</v>
      </c>
      <c r="N103" s="2400">
        <f t="shared" ref="N103:T103" si="101">SUM(N90:N102)</f>
        <v>0</v>
      </c>
      <c r="O103" s="2377">
        <f t="shared" si="101"/>
        <v>0</v>
      </c>
      <c r="P103" s="2400">
        <f t="shared" si="101"/>
        <v>0</v>
      </c>
      <c r="Q103" s="2377">
        <f t="shared" si="101"/>
        <v>0</v>
      </c>
      <c r="R103" s="2379">
        <f t="shared" si="101"/>
        <v>0</v>
      </c>
      <c r="S103" s="2376">
        <f t="shared" si="101"/>
        <v>0</v>
      </c>
      <c r="T103" s="2400">
        <f t="shared" si="101"/>
        <v>0</v>
      </c>
      <c r="U103" s="2379" t="s">
        <v>221</v>
      </c>
      <c r="V103" s="2397">
        <f t="shared" ref="V103:W103" si="102">SUM(V90:V102)</f>
        <v>0</v>
      </c>
      <c r="W103" s="2400">
        <f t="shared" si="102"/>
        <v>0</v>
      </c>
      <c r="X103" s="2377" t="s">
        <v>221</v>
      </c>
      <c r="Y103" s="2381">
        <f t="shared" ref="Y103" si="103">SUM(Y90:Y102)</f>
        <v>0</v>
      </c>
    </row>
    <row r="104" spans="1:27" ht="7.5" customHeight="1"/>
    <row r="105" spans="1:27" ht="15.75" customHeight="1" thickBot="1">
      <c r="A105" s="1642" t="s">
        <v>669</v>
      </c>
    </row>
    <row r="106" spans="1:27" ht="11.25" customHeight="1">
      <c r="A106" s="1964" t="s">
        <v>284</v>
      </c>
      <c r="B106" s="1967" t="s">
        <v>285</v>
      </c>
      <c r="C106" s="1968"/>
      <c r="D106" s="1968"/>
      <c r="E106" s="1969"/>
      <c r="F106" s="1967" t="s">
        <v>245</v>
      </c>
      <c r="G106" s="1968"/>
      <c r="H106" s="1968"/>
      <c r="I106" s="1968"/>
      <c r="J106" s="1968"/>
      <c r="K106" s="1969"/>
      <c r="L106" s="1967" t="s">
        <v>250</v>
      </c>
      <c r="M106" s="1968"/>
      <c r="N106" s="1968"/>
      <c r="O106" s="1968"/>
      <c r="P106" s="1968"/>
      <c r="Q106" s="1968"/>
      <c r="R106" s="1969"/>
      <c r="S106" s="1967" t="s">
        <v>653</v>
      </c>
      <c r="T106" s="1968"/>
      <c r="U106" s="1969"/>
      <c r="V106" s="1959" t="s">
        <v>654</v>
      </c>
      <c r="W106" s="1962" t="s">
        <v>655</v>
      </c>
      <c r="X106" s="1963" t="s">
        <v>637</v>
      </c>
      <c r="Y106" s="1947" t="s">
        <v>256</v>
      </c>
    </row>
    <row r="107" spans="1:27" ht="43.5" customHeight="1">
      <c r="A107" s="1965"/>
      <c r="B107" s="1950" t="s">
        <v>292</v>
      </c>
      <c r="C107" s="1952" t="s">
        <v>242</v>
      </c>
      <c r="D107" s="1954" t="s">
        <v>656</v>
      </c>
      <c r="E107" s="1948" t="s">
        <v>657</v>
      </c>
      <c r="F107" s="1956" t="s">
        <v>658</v>
      </c>
      <c r="G107" s="1957"/>
      <c r="H107" s="1957" t="s">
        <v>659</v>
      </c>
      <c r="I107" s="1957"/>
      <c r="J107" s="1957" t="s">
        <v>660</v>
      </c>
      <c r="K107" s="1958"/>
      <c r="L107" s="1956" t="s">
        <v>299</v>
      </c>
      <c r="M107" s="1957"/>
      <c r="N107" s="1957"/>
      <c r="O107" s="1957" t="s">
        <v>661</v>
      </c>
      <c r="P107" s="1957"/>
      <c r="Q107" s="1957" t="s">
        <v>635</v>
      </c>
      <c r="R107" s="1958"/>
      <c r="S107" s="1950" t="s">
        <v>292</v>
      </c>
      <c r="T107" s="1952" t="s">
        <v>242</v>
      </c>
      <c r="U107" s="1948" t="s">
        <v>656</v>
      </c>
      <c r="V107" s="1960"/>
      <c r="W107" s="1952"/>
      <c r="X107" s="1954"/>
      <c r="Y107" s="1948"/>
    </row>
    <row r="108" spans="1:27" ht="34.5" customHeight="1" thickBot="1">
      <c r="A108" s="1966"/>
      <c r="B108" s="1951"/>
      <c r="C108" s="1953"/>
      <c r="D108" s="1955"/>
      <c r="E108" s="1949"/>
      <c r="F108" s="1560" t="s">
        <v>662</v>
      </c>
      <c r="G108" s="1561" t="s">
        <v>242</v>
      </c>
      <c r="H108" s="1562" t="s">
        <v>662</v>
      </c>
      <c r="I108" s="1561" t="s">
        <v>242</v>
      </c>
      <c r="J108" s="1562" t="s">
        <v>662</v>
      </c>
      <c r="K108" s="1563" t="s">
        <v>242</v>
      </c>
      <c r="L108" s="1560" t="s">
        <v>662</v>
      </c>
      <c r="M108" s="1561" t="s">
        <v>663</v>
      </c>
      <c r="N108" s="1561" t="s">
        <v>242</v>
      </c>
      <c r="O108" s="1562" t="s">
        <v>662</v>
      </c>
      <c r="P108" s="1561" t="s">
        <v>242</v>
      </c>
      <c r="Q108" s="1562" t="s">
        <v>662</v>
      </c>
      <c r="R108" s="1563" t="s">
        <v>242</v>
      </c>
      <c r="S108" s="1951"/>
      <c r="T108" s="1953"/>
      <c r="U108" s="1949"/>
      <c r="V108" s="1961"/>
      <c r="W108" s="1953"/>
      <c r="X108" s="1955"/>
      <c r="Y108" s="1949"/>
    </row>
    <row r="109" spans="1:27" ht="9" customHeight="1" thickBot="1">
      <c r="A109" s="1564" t="s">
        <v>305</v>
      </c>
      <c r="B109" s="1612">
        <v>1</v>
      </c>
      <c r="C109" s="1613">
        <v>2</v>
      </c>
      <c r="D109" s="1613">
        <v>3</v>
      </c>
      <c r="E109" s="1614">
        <v>4</v>
      </c>
      <c r="F109" s="1565">
        <v>5</v>
      </c>
      <c r="G109" s="1566">
        <v>6</v>
      </c>
      <c r="H109" s="1566">
        <v>7</v>
      </c>
      <c r="I109" s="1566">
        <v>8</v>
      </c>
      <c r="J109" s="1566">
        <v>9</v>
      </c>
      <c r="K109" s="1567">
        <v>10</v>
      </c>
      <c r="L109" s="1565">
        <v>11</v>
      </c>
      <c r="M109" s="1566">
        <v>12</v>
      </c>
      <c r="N109" s="1566">
        <v>13</v>
      </c>
      <c r="O109" s="1566">
        <v>14</v>
      </c>
      <c r="P109" s="1566">
        <v>15</v>
      </c>
      <c r="Q109" s="1566">
        <v>16</v>
      </c>
      <c r="R109" s="1567">
        <v>17</v>
      </c>
      <c r="S109" s="1565">
        <v>18</v>
      </c>
      <c r="T109" s="1566">
        <v>19</v>
      </c>
      <c r="U109" s="1567">
        <v>20</v>
      </c>
      <c r="V109" s="1568">
        <v>21</v>
      </c>
      <c r="W109" s="1566">
        <v>22</v>
      </c>
      <c r="X109" s="1566">
        <v>23</v>
      </c>
      <c r="Y109" s="1567">
        <v>24</v>
      </c>
    </row>
    <row r="110" spans="1:27" ht="11.25" customHeight="1">
      <c r="A110" s="1615" t="s">
        <v>580</v>
      </c>
      <c r="B110" s="1616">
        <f>S90</f>
        <v>0</v>
      </c>
      <c r="C110" s="1617">
        <f t="shared" ref="C110:D122" si="104">T90</f>
        <v>0</v>
      </c>
      <c r="D110" s="1618">
        <f t="shared" si="104"/>
        <v>460</v>
      </c>
      <c r="E110" s="1619">
        <f>B110*43</f>
        <v>0</v>
      </c>
      <c r="F110" s="1581"/>
      <c r="G110" s="1574"/>
      <c r="H110" s="1575"/>
      <c r="I110" s="1575"/>
      <c r="J110" s="1575"/>
      <c r="K110" s="1576"/>
      <c r="L110" s="1577"/>
      <c r="M110" s="1620"/>
      <c r="N110" s="2398">
        <f t="shared" ref="N110:N111" si="105">M110*L110/1000</f>
        <v>0</v>
      </c>
      <c r="O110" s="1620"/>
      <c r="P110" s="1572"/>
      <c r="Q110" s="1572"/>
      <c r="R110" s="1579"/>
      <c r="S110" s="1580">
        <f t="shared" ref="S110:S120" si="106">B110+F110+H110+J110-L110-O110-Q110</f>
        <v>0</v>
      </c>
      <c r="T110" s="1571">
        <f>S110*D110/1000</f>
        <v>0</v>
      </c>
      <c r="U110" s="1573">
        <f>D110</f>
        <v>460</v>
      </c>
      <c r="V110" s="1621">
        <f t="shared" ref="V110:V113" si="107">Y110/365</f>
        <v>0</v>
      </c>
      <c r="W110" s="1578"/>
      <c r="X110" s="2392"/>
      <c r="Y110" s="1582"/>
      <c r="AA110" s="1698">
        <f t="shared" ref="AA110:AA111" si="108">B110*365+F110*280-L110*305</f>
        <v>0</v>
      </c>
    </row>
    <row r="111" spans="1:27" ht="11.25" customHeight="1">
      <c r="A111" s="1622" t="s">
        <v>581</v>
      </c>
      <c r="B111" s="1595">
        <f t="shared" ref="B111:B122" si="109">S91</f>
        <v>0</v>
      </c>
      <c r="C111" s="1585">
        <f t="shared" si="104"/>
        <v>0</v>
      </c>
      <c r="D111" s="1592">
        <f t="shared" ref="D111:D120" si="110">U91</f>
        <v>480</v>
      </c>
      <c r="E111" s="1587">
        <f>C111*43</f>
        <v>0</v>
      </c>
      <c r="F111" s="1596"/>
      <c r="G111" s="1588"/>
      <c r="H111" s="1589"/>
      <c r="I111" s="1589"/>
      <c r="J111" s="1589"/>
      <c r="K111" s="1590"/>
      <c r="L111" s="1591"/>
      <c r="M111" s="1586"/>
      <c r="N111" s="2398">
        <f t="shared" si="105"/>
        <v>0</v>
      </c>
      <c r="O111" s="2366"/>
      <c r="P111" s="1586"/>
      <c r="Q111" s="1586"/>
      <c r="R111" s="1594"/>
      <c r="S111" s="1595">
        <f t="shared" si="106"/>
        <v>0</v>
      </c>
      <c r="T111" s="1585">
        <f t="shared" ref="T111:T120" si="111">S111*D111/1000</f>
        <v>0</v>
      </c>
      <c r="U111" s="1587">
        <f t="shared" ref="U111:U120" si="112">D111</f>
        <v>480</v>
      </c>
      <c r="V111" s="1623">
        <f t="shared" si="107"/>
        <v>0</v>
      </c>
      <c r="W111" s="1593"/>
      <c r="X111" s="2392"/>
      <c r="Y111" s="1597"/>
      <c r="AA111" s="1698">
        <f t="shared" si="108"/>
        <v>0</v>
      </c>
    </row>
    <row r="112" spans="1:27" ht="11.25" customHeight="1">
      <c r="A112" s="1622" t="s">
        <v>582</v>
      </c>
      <c r="B112" s="1595">
        <f t="shared" si="109"/>
        <v>0</v>
      </c>
      <c r="C112" s="1585">
        <f t="shared" si="104"/>
        <v>0</v>
      </c>
      <c r="D112" s="1592">
        <f t="shared" si="110"/>
        <v>430</v>
      </c>
      <c r="E112" s="1587">
        <f>B112*36</f>
        <v>0</v>
      </c>
      <c r="F112" s="1624">
        <f>O116</f>
        <v>0</v>
      </c>
      <c r="G112" s="2393">
        <f>P116</f>
        <v>0</v>
      </c>
      <c r="H112" s="1589"/>
      <c r="I112" s="1589"/>
      <c r="J112" s="1589"/>
      <c r="K112" s="1590"/>
      <c r="L112" s="1591"/>
      <c r="M112" s="1586"/>
      <c r="N112" s="2398">
        <f>M112*L112/1000</f>
        <v>0</v>
      </c>
      <c r="O112" s="1586"/>
      <c r="P112" s="1586"/>
      <c r="Q112" s="1586"/>
      <c r="R112" s="1594"/>
      <c r="S112" s="1595">
        <f t="shared" si="106"/>
        <v>0</v>
      </c>
      <c r="T112" s="1585">
        <f t="shared" si="111"/>
        <v>0</v>
      </c>
      <c r="U112" s="1587">
        <f t="shared" si="112"/>
        <v>430</v>
      </c>
      <c r="V112" s="1623">
        <f t="shared" si="107"/>
        <v>0</v>
      </c>
      <c r="W112" s="1593"/>
      <c r="X112" s="2392"/>
      <c r="Y112" s="1597"/>
      <c r="AA112" s="1698">
        <f>B112*365+F112*280-L112*305</f>
        <v>0</v>
      </c>
    </row>
    <row r="113" spans="1:27" ht="11.25" customHeight="1">
      <c r="A113" s="1622" t="s">
        <v>583</v>
      </c>
      <c r="B113" s="1595">
        <f t="shared" si="109"/>
        <v>0</v>
      </c>
      <c r="C113" s="1585">
        <f t="shared" si="104"/>
        <v>0</v>
      </c>
      <c r="D113" s="1592">
        <f t="shared" si="110"/>
        <v>0</v>
      </c>
      <c r="E113" s="1587"/>
      <c r="F113" s="2387">
        <f>O110+O111+O112</f>
        <v>0</v>
      </c>
      <c r="G113" s="2394">
        <f>P110+P111+P112</f>
        <v>0</v>
      </c>
      <c r="H113" s="1589"/>
      <c r="I113" s="1589"/>
      <c r="J113" s="1589"/>
      <c r="K113" s="1590"/>
      <c r="L113" s="1591"/>
      <c r="M113" s="1586"/>
      <c r="N113" s="2398">
        <f t="shared" ref="N113:N120" si="113">M113*L113/1000</f>
        <v>0</v>
      </c>
      <c r="O113" s="1593"/>
      <c r="P113" s="1593"/>
      <c r="Q113" s="1586"/>
      <c r="R113" s="1594"/>
      <c r="S113" s="1595">
        <f t="shared" si="106"/>
        <v>0</v>
      </c>
      <c r="T113" s="1585">
        <f t="shared" si="111"/>
        <v>0</v>
      </c>
      <c r="U113" s="1587">
        <f t="shared" si="112"/>
        <v>0</v>
      </c>
      <c r="V113" s="1623">
        <f t="shared" si="107"/>
        <v>0</v>
      </c>
      <c r="W113" s="1585">
        <f>T113+R113+P113+N113-K113-I113-G113-C113</f>
        <v>0</v>
      </c>
      <c r="X113" s="1692" t="e">
        <f t="shared" ref="X111:X120" si="114">W113*10^6/Y113</f>
        <v>#DIV/0!</v>
      </c>
      <c r="Y113" s="1597"/>
      <c r="AA113" s="1698">
        <f>B113*365+F113*280</f>
        <v>0</v>
      </c>
    </row>
    <row r="114" spans="1:27" ht="11.25" customHeight="1">
      <c r="A114" s="1625" t="s">
        <v>584</v>
      </c>
      <c r="B114" s="1595">
        <f t="shared" si="109"/>
        <v>0</v>
      </c>
      <c r="C114" s="1585">
        <f t="shared" si="104"/>
        <v>0</v>
      </c>
      <c r="D114" s="1592">
        <f t="shared" si="110"/>
        <v>450</v>
      </c>
      <c r="E114" s="1587">
        <f>C114*64</f>
        <v>0</v>
      </c>
      <c r="F114" s="1624">
        <f>O115</f>
        <v>0</v>
      </c>
      <c r="G114" s="2393">
        <f>P115</f>
        <v>0</v>
      </c>
      <c r="H114" s="1589"/>
      <c r="I114" s="1589"/>
      <c r="J114" s="1589"/>
      <c r="K114" s="1590"/>
      <c r="L114" s="1591"/>
      <c r="M114" s="1586"/>
      <c r="N114" s="2398">
        <f t="shared" si="113"/>
        <v>0</v>
      </c>
      <c r="O114" s="1592">
        <f t="shared" ref="O114:O116" si="115">B114-L114-Q114</f>
        <v>0</v>
      </c>
      <c r="P114" s="1586"/>
      <c r="Q114" s="1586"/>
      <c r="R114" s="1594"/>
      <c r="S114" s="1595">
        <f t="shared" si="106"/>
        <v>0</v>
      </c>
      <c r="T114" s="1585">
        <f t="shared" si="111"/>
        <v>0</v>
      </c>
      <c r="U114" s="1587">
        <f t="shared" si="112"/>
        <v>450</v>
      </c>
      <c r="V114" s="1623">
        <f t="shared" ref="V114:V120" si="116">Y114/365</f>
        <v>0</v>
      </c>
      <c r="W114" s="1585">
        <f t="shared" ref="W114:W120" si="117">T114+R114+P114+N114-K114-I114-G114-C114</f>
        <v>0</v>
      </c>
      <c r="X114" s="1692" t="e">
        <f t="shared" si="114"/>
        <v>#DIV/0!</v>
      </c>
      <c r="Y114" s="1597"/>
      <c r="AA114" s="1698">
        <f>B114*365+F114*30-L114*60</f>
        <v>0</v>
      </c>
    </row>
    <row r="115" spans="1:27" ht="11.25" customHeight="1">
      <c r="A115" s="1625" t="s">
        <v>585</v>
      </c>
      <c r="B115" s="1595">
        <f t="shared" si="109"/>
        <v>0</v>
      </c>
      <c r="C115" s="1585">
        <f t="shared" si="104"/>
        <v>0</v>
      </c>
      <c r="D115" s="1592">
        <f t="shared" si="110"/>
        <v>410</v>
      </c>
      <c r="E115" s="1587">
        <f t="shared" ref="E115:E120" si="118">C115*64</f>
        <v>0</v>
      </c>
      <c r="F115" s="1624">
        <f t="shared" ref="F115:G120" si="119">O117</f>
        <v>0</v>
      </c>
      <c r="G115" s="2393">
        <f t="shared" si="119"/>
        <v>0</v>
      </c>
      <c r="H115" s="1589"/>
      <c r="I115" s="1589"/>
      <c r="J115" s="1589"/>
      <c r="K115" s="1590"/>
      <c r="L115" s="1591"/>
      <c r="M115" s="1586"/>
      <c r="N115" s="2398">
        <f t="shared" si="113"/>
        <v>0</v>
      </c>
      <c r="O115" s="1592">
        <f t="shared" si="115"/>
        <v>0</v>
      </c>
      <c r="P115" s="1585">
        <f>O115*D114/1000</f>
        <v>0</v>
      </c>
      <c r="Q115" s="1586"/>
      <c r="R115" s="1594"/>
      <c r="S115" s="1595">
        <f t="shared" si="106"/>
        <v>0</v>
      </c>
      <c r="T115" s="1585">
        <f t="shared" si="111"/>
        <v>0</v>
      </c>
      <c r="U115" s="1587">
        <f t="shared" si="112"/>
        <v>410</v>
      </c>
      <c r="V115" s="1623">
        <f t="shared" si="116"/>
        <v>0</v>
      </c>
      <c r="W115" s="1585">
        <f t="shared" si="117"/>
        <v>0</v>
      </c>
      <c r="X115" s="1692" t="e">
        <f t="shared" si="114"/>
        <v>#DIV/0!</v>
      </c>
      <c r="Y115" s="1597"/>
      <c r="AA115" s="1698">
        <f>B115*365+F115*30-L115*60-O115*30</f>
        <v>0</v>
      </c>
    </row>
    <row r="116" spans="1:27" ht="11.25" customHeight="1">
      <c r="A116" s="1625" t="s">
        <v>586</v>
      </c>
      <c r="B116" s="1595">
        <f t="shared" si="109"/>
        <v>0</v>
      </c>
      <c r="C116" s="1585">
        <f t="shared" si="104"/>
        <v>0</v>
      </c>
      <c r="D116" s="1592">
        <f t="shared" si="110"/>
        <v>380</v>
      </c>
      <c r="E116" s="1587">
        <f t="shared" si="118"/>
        <v>0</v>
      </c>
      <c r="F116" s="1624">
        <f t="shared" si="119"/>
        <v>0</v>
      </c>
      <c r="G116" s="2393">
        <f t="shared" si="119"/>
        <v>0</v>
      </c>
      <c r="H116" s="1589"/>
      <c r="I116" s="1589"/>
      <c r="J116" s="1589"/>
      <c r="K116" s="1590"/>
      <c r="L116" s="1591"/>
      <c r="M116" s="1586"/>
      <c r="N116" s="2398">
        <f>M116*L116/1000</f>
        <v>0</v>
      </c>
      <c r="O116" s="1592">
        <f t="shared" si="115"/>
        <v>0</v>
      </c>
      <c r="P116" s="1585">
        <f>O116*D112/1000</f>
        <v>0</v>
      </c>
      <c r="Q116" s="1586"/>
      <c r="R116" s="1594"/>
      <c r="S116" s="1595">
        <f t="shared" si="106"/>
        <v>0</v>
      </c>
      <c r="T116" s="1585">
        <f t="shared" si="111"/>
        <v>0</v>
      </c>
      <c r="U116" s="1587">
        <f t="shared" si="112"/>
        <v>380</v>
      </c>
      <c r="V116" s="1623">
        <f t="shared" si="116"/>
        <v>0</v>
      </c>
      <c r="W116" s="1585">
        <f t="shared" si="117"/>
        <v>0</v>
      </c>
      <c r="X116" s="1692" t="e">
        <f>W116*10^6/Y116</f>
        <v>#DIV/0!</v>
      </c>
      <c r="Y116" s="1597"/>
      <c r="AA116" s="1698">
        <f t="shared" ref="AA116:AA120" si="120">B116*365+F116*30-L116*60-O116*30</f>
        <v>0</v>
      </c>
    </row>
    <row r="117" spans="1:27" ht="11.25" customHeight="1">
      <c r="A117" s="1625" t="s">
        <v>587</v>
      </c>
      <c r="B117" s="1595">
        <f t="shared" si="109"/>
        <v>0</v>
      </c>
      <c r="C117" s="1585">
        <f t="shared" si="104"/>
        <v>0</v>
      </c>
      <c r="D117" s="1592">
        <f t="shared" si="110"/>
        <v>350</v>
      </c>
      <c r="E117" s="1587">
        <f t="shared" si="118"/>
        <v>0</v>
      </c>
      <c r="F117" s="1624">
        <f t="shared" si="119"/>
        <v>0</v>
      </c>
      <c r="G117" s="2393">
        <f t="shared" si="119"/>
        <v>0</v>
      </c>
      <c r="H117" s="1589"/>
      <c r="I117" s="1589"/>
      <c r="J117" s="1589"/>
      <c r="K117" s="1590"/>
      <c r="L117" s="1591"/>
      <c r="M117" s="1586"/>
      <c r="N117" s="2398">
        <f t="shared" si="113"/>
        <v>0</v>
      </c>
      <c r="O117" s="1592">
        <v>0</v>
      </c>
      <c r="P117" s="1585">
        <f>O117*D115/1000</f>
        <v>0</v>
      </c>
      <c r="Q117" s="1586"/>
      <c r="R117" s="1594"/>
      <c r="S117" s="1595">
        <f t="shared" si="106"/>
        <v>0</v>
      </c>
      <c r="T117" s="1585">
        <f t="shared" si="111"/>
        <v>0</v>
      </c>
      <c r="U117" s="1587">
        <f t="shared" si="112"/>
        <v>350</v>
      </c>
      <c r="V117" s="1623">
        <f t="shared" si="116"/>
        <v>0</v>
      </c>
      <c r="W117" s="1585">
        <f t="shared" si="117"/>
        <v>0</v>
      </c>
      <c r="X117" s="1692" t="e">
        <f t="shared" si="114"/>
        <v>#DIV/0!</v>
      </c>
      <c r="Y117" s="1597"/>
      <c r="AA117" s="1698">
        <f t="shared" si="120"/>
        <v>0</v>
      </c>
    </row>
    <row r="118" spans="1:27" ht="11.25" customHeight="1">
      <c r="A118" s="1625" t="s">
        <v>588</v>
      </c>
      <c r="B118" s="1595">
        <f t="shared" si="109"/>
        <v>0</v>
      </c>
      <c r="C118" s="1585">
        <f t="shared" si="104"/>
        <v>0</v>
      </c>
      <c r="D118" s="1592">
        <f t="shared" si="110"/>
        <v>320</v>
      </c>
      <c r="E118" s="1587">
        <f t="shared" si="118"/>
        <v>0</v>
      </c>
      <c r="F118" s="1624">
        <f t="shared" si="119"/>
        <v>0</v>
      </c>
      <c r="G118" s="2393">
        <f t="shared" si="119"/>
        <v>0</v>
      </c>
      <c r="H118" s="1589"/>
      <c r="I118" s="1589"/>
      <c r="J118" s="1589"/>
      <c r="K118" s="1590"/>
      <c r="L118" s="1591"/>
      <c r="M118" s="1586"/>
      <c r="N118" s="2398">
        <f t="shared" si="113"/>
        <v>0</v>
      </c>
      <c r="O118" s="1592">
        <f>F118-L118-Q118</f>
        <v>0</v>
      </c>
      <c r="P118" s="1585">
        <f>O118*D116/1000</f>
        <v>0</v>
      </c>
      <c r="Q118" s="1586"/>
      <c r="R118" s="1594"/>
      <c r="S118" s="1595">
        <f t="shared" si="106"/>
        <v>0</v>
      </c>
      <c r="T118" s="1585">
        <f t="shared" si="111"/>
        <v>0</v>
      </c>
      <c r="U118" s="1587">
        <f t="shared" si="112"/>
        <v>320</v>
      </c>
      <c r="V118" s="1623">
        <f t="shared" si="116"/>
        <v>0</v>
      </c>
      <c r="W118" s="1585">
        <f t="shared" si="117"/>
        <v>0</v>
      </c>
      <c r="X118" s="1692" t="e">
        <f t="shared" si="114"/>
        <v>#DIV/0!</v>
      </c>
      <c r="Y118" s="1597"/>
      <c r="AA118" s="1698">
        <f t="shared" si="120"/>
        <v>0</v>
      </c>
    </row>
    <row r="119" spans="1:27" ht="11.25" customHeight="1">
      <c r="A119" s="1625" t="s">
        <v>589</v>
      </c>
      <c r="B119" s="1595">
        <f t="shared" si="109"/>
        <v>0</v>
      </c>
      <c r="C119" s="1585">
        <f t="shared" si="104"/>
        <v>0</v>
      </c>
      <c r="D119" s="1592">
        <f t="shared" si="110"/>
        <v>210</v>
      </c>
      <c r="E119" s="1587">
        <f t="shared" si="118"/>
        <v>0</v>
      </c>
      <c r="F119" s="1624">
        <f t="shared" si="119"/>
        <v>0</v>
      </c>
      <c r="G119" s="2393">
        <f t="shared" si="119"/>
        <v>0</v>
      </c>
      <c r="H119" s="1589"/>
      <c r="I119" s="1589"/>
      <c r="J119" s="1589"/>
      <c r="K119" s="1590"/>
      <c r="L119" s="1591"/>
      <c r="M119" s="1586"/>
      <c r="N119" s="2398">
        <f t="shared" si="113"/>
        <v>0</v>
      </c>
      <c r="O119" s="1592">
        <f t="shared" ref="O119:O122" si="121">F119-L119-Q119</f>
        <v>0</v>
      </c>
      <c r="P119" s="1585">
        <f t="shared" ref="P119:P122" si="122">O119*D117/1000</f>
        <v>0</v>
      </c>
      <c r="Q119" s="1586"/>
      <c r="R119" s="1594"/>
      <c r="S119" s="1595">
        <f t="shared" si="106"/>
        <v>0</v>
      </c>
      <c r="T119" s="1585">
        <f t="shared" si="111"/>
        <v>0</v>
      </c>
      <c r="U119" s="1587">
        <f t="shared" si="112"/>
        <v>210</v>
      </c>
      <c r="V119" s="1623">
        <f t="shared" si="116"/>
        <v>0</v>
      </c>
      <c r="W119" s="1585">
        <f t="shared" si="117"/>
        <v>0</v>
      </c>
      <c r="X119" s="1692" t="e">
        <f t="shared" si="114"/>
        <v>#DIV/0!</v>
      </c>
      <c r="Y119" s="1597"/>
      <c r="AA119" s="1698">
        <f t="shared" si="120"/>
        <v>0</v>
      </c>
    </row>
    <row r="120" spans="1:27" ht="11.25" customHeight="1">
      <c r="A120" s="1625" t="s">
        <v>590</v>
      </c>
      <c r="B120" s="1595">
        <f t="shared" si="109"/>
        <v>0</v>
      </c>
      <c r="C120" s="1585">
        <f t="shared" si="104"/>
        <v>0</v>
      </c>
      <c r="D120" s="1592">
        <f t="shared" si="110"/>
        <v>210</v>
      </c>
      <c r="E120" s="1587">
        <f t="shared" si="118"/>
        <v>0</v>
      </c>
      <c r="F120" s="1624">
        <f t="shared" si="119"/>
        <v>0</v>
      </c>
      <c r="G120" s="2393">
        <f t="shared" si="119"/>
        <v>0</v>
      </c>
      <c r="H120" s="1589"/>
      <c r="I120" s="1589"/>
      <c r="J120" s="1589"/>
      <c r="K120" s="1590"/>
      <c r="L120" s="1591"/>
      <c r="M120" s="1586"/>
      <c r="N120" s="2398">
        <f t="shared" si="113"/>
        <v>0</v>
      </c>
      <c r="O120" s="1592">
        <f t="shared" si="121"/>
        <v>0</v>
      </c>
      <c r="P120" s="1585">
        <f t="shared" si="122"/>
        <v>0</v>
      </c>
      <c r="Q120" s="1586"/>
      <c r="R120" s="1594"/>
      <c r="S120" s="1595">
        <f t="shared" si="106"/>
        <v>0</v>
      </c>
      <c r="T120" s="1585">
        <f t="shared" si="111"/>
        <v>0</v>
      </c>
      <c r="U120" s="1587">
        <f t="shared" si="112"/>
        <v>210</v>
      </c>
      <c r="V120" s="1623">
        <f t="shared" si="116"/>
        <v>0</v>
      </c>
      <c r="W120" s="1585">
        <f t="shared" si="117"/>
        <v>0</v>
      </c>
      <c r="X120" s="1692" t="e">
        <f t="shared" si="114"/>
        <v>#DIV/0!</v>
      </c>
      <c r="Y120" s="1597"/>
      <c r="AA120" s="1698">
        <f t="shared" si="120"/>
        <v>0</v>
      </c>
    </row>
    <row r="121" spans="1:27" ht="11.25" customHeight="1">
      <c r="A121" s="1625" t="s">
        <v>591</v>
      </c>
      <c r="B121" s="1595">
        <f t="shared" si="109"/>
        <v>0</v>
      </c>
      <c r="C121" s="1585">
        <f t="shared" si="104"/>
        <v>0</v>
      </c>
      <c r="D121" s="1592">
        <v>25</v>
      </c>
      <c r="E121" s="1587"/>
      <c r="F121" s="1624">
        <f>INT(G4%*B112/2)</f>
        <v>0</v>
      </c>
      <c r="G121" s="2393">
        <f>D121*F121/1000</f>
        <v>0</v>
      </c>
      <c r="H121" s="1589"/>
      <c r="I121" s="1589"/>
      <c r="J121" s="1589"/>
      <c r="K121" s="1590"/>
      <c r="L121" s="1591"/>
      <c r="M121" s="1586"/>
      <c r="N121" s="2398">
        <f>M121*L121/1000</f>
        <v>0</v>
      </c>
      <c r="O121" s="1592">
        <f t="shared" si="121"/>
        <v>0</v>
      </c>
      <c r="P121" s="1585">
        <f t="shared" si="122"/>
        <v>0</v>
      </c>
      <c r="Q121" s="1586"/>
      <c r="R121" s="1594"/>
      <c r="S121" s="1595">
        <f>B121+F121+H121+J121-L121-O121-Q121</f>
        <v>0</v>
      </c>
      <c r="T121" s="1585">
        <v>0</v>
      </c>
      <c r="U121" s="1587">
        <v>0</v>
      </c>
      <c r="V121" s="1623">
        <f>Y121/365</f>
        <v>0</v>
      </c>
      <c r="W121" s="1585">
        <f>T121+R121+P121+N121-K121-I121-G121-C121</f>
        <v>0</v>
      </c>
      <c r="X121" s="1692" t="e">
        <f>W121*10^6/Y121</f>
        <v>#DIV/0!</v>
      </c>
      <c r="Y121" s="1597"/>
      <c r="AA121" s="1698">
        <f>F121*280-L121*60-O121*30</f>
        <v>0</v>
      </c>
    </row>
    <row r="122" spans="1:27" ht="11.25" customHeight="1" thickBot="1">
      <c r="A122" s="1626" t="s">
        <v>592</v>
      </c>
      <c r="B122" s="1627">
        <f t="shared" si="109"/>
        <v>0</v>
      </c>
      <c r="C122" s="1628">
        <f t="shared" si="104"/>
        <v>0</v>
      </c>
      <c r="D122" s="1629">
        <v>25</v>
      </c>
      <c r="E122" s="1630"/>
      <c r="F122" s="1624">
        <f>INT(G4%*B112/2)</f>
        <v>0</v>
      </c>
      <c r="G122" s="2395">
        <f>D122*F122/1000</f>
        <v>0</v>
      </c>
      <c r="H122" s="1605"/>
      <c r="I122" s="1605"/>
      <c r="J122" s="1605"/>
      <c r="K122" s="1606"/>
      <c r="L122" s="1607"/>
      <c r="M122" s="1602"/>
      <c r="N122" s="2399">
        <f>M122*L122/1000</f>
        <v>0</v>
      </c>
      <c r="O122" s="1592">
        <f t="shared" si="121"/>
        <v>0</v>
      </c>
      <c r="P122" s="1585">
        <f t="shared" si="122"/>
        <v>0</v>
      </c>
      <c r="Q122" s="1602"/>
      <c r="R122" s="1609"/>
      <c r="S122" s="1604">
        <f>B122+F122+H122+J122-L122-O122-Q122</f>
        <v>0</v>
      </c>
      <c r="T122" s="2401">
        <v>0</v>
      </c>
      <c r="U122" s="1603">
        <v>0</v>
      </c>
      <c r="V122" s="2396">
        <f>Y122/365</f>
        <v>0</v>
      </c>
      <c r="W122" s="2401">
        <f>T122+R122+P122+N122-K122-I122-G122-C122</f>
        <v>0</v>
      </c>
      <c r="X122" s="1693" t="e">
        <f>W122*10^6/Y122</f>
        <v>#DIV/0!</v>
      </c>
      <c r="Y122" s="1610"/>
      <c r="AA122" s="1698">
        <f>F122*280-L122*60-O122*30</f>
        <v>0</v>
      </c>
    </row>
    <row r="123" spans="1:27" ht="12" customHeight="1" thickBot="1">
      <c r="A123" s="2375" t="s">
        <v>238</v>
      </c>
      <c r="B123" s="2382">
        <f>SUM(B110:B122)</f>
        <v>0</v>
      </c>
      <c r="C123" s="2383">
        <f>SUM(C110:C122)</f>
        <v>0</v>
      </c>
      <c r="D123" s="2384" t="s">
        <v>221</v>
      </c>
      <c r="E123" s="2385">
        <f>SUM(E110:E122)</f>
        <v>0</v>
      </c>
      <c r="F123" s="2376">
        <f t="shared" ref="F123:L123" si="123">SUM(F110:F122)</f>
        <v>0</v>
      </c>
      <c r="G123" s="2400">
        <f t="shared" si="123"/>
        <v>0</v>
      </c>
      <c r="H123" s="2377">
        <f t="shared" si="123"/>
        <v>0</v>
      </c>
      <c r="I123" s="2377">
        <f t="shared" si="123"/>
        <v>0</v>
      </c>
      <c r="J123" s="2377">
        <f t="shared" si="123"/>
        <v>0</v>
      </c>
      <c r="K123" s="2379">
        <f t="shared" si="123"/>
        <v>0</v>
      </c>
      <c r="L123" s="2376">
        <f t="shared" si="123"/>
        <v>0</v>
      </c>
      <c r="M123" s="2377" t="e">
        <f>N123/L123*1000</f>
        <v>#DIV/0!</v>
      </c>
      <c r="N123" s="2400">
        <f t="shared" ref="N123:T123" si="124">SUM(N110:N122)</f>
        <v>0</v>
      </c>
      <c r="O123" s="2377">
        <f t="shared" si="124"/>
        <v>0</v>
      </c>
      <c r="P123" s="2400">
        <f t="shared" si="124"/>
        <v>0</v>
      </c>
      <c r="Q123" s="2377">
        <f t="shared" si="124"/>
        <v>0</v>
      </c>
      <c r="R123" s="2379">
        <f t="shared" si="124"/>
        <v>0</v>
      </c>
      <c r="S123" s="2376">
        <f t="shared" si="124"/>
        <v>0</v>
      </c>
      <c r="T123" s="2400">
        <f t="shared" si="124"/>
        <v>0</v>
      </c>
      <c r="U123" s="2379" t="s">
        <v>221</v>
      </c>
      <c r="V123" s="2397">
        <f t="shared" ref="V123:W123" si="125">SUM(V110:V122)</f>
        <v>0</v>
      </c>
      <c r="W123" s="2400">
        <f t="shared" si="125"/>
        <v>0</v>
      </c>
      <c r="X123" s="2377" t="s">
        <v>221</v>
      </c>
      <c r="Y123" s="2381">
        <f t="shared" ref="Y123" si="126">SUM(Y110:Y122)</f>
        <v>0</v>
      </c>
    </row>
    <row r="124" spans="1:27" ht="7.5" customHeight="1"/>
  </sheetData>
  <mergeCells count="135">
    <mergeCell ref="AD10:AD22"/>
    <mergeCell ref="A6:A8"/>
    <mergeCell ref="W6:W8"/>
    <mergeCell ref="X6:X8"/>
    <mergeCell ref="Y6:Y8"/>
    <mergeCell ref="B7:B8"/>
    <mergeCell ref="C7:C8"/>
    <mergeCell ref="D7:D8"/>
    <mergeCell ref="E7:E8"/>
    <mergeCell ref="F7:G7"/>
    <mergeCell ref="H7:I7"/>
    <mergeCell ref="J7:K7"/>
    <mergeCell ref="B6:E6"/>
    <mergeCell ref="F6:K6"/>
    <mergeCell ref="L6:R6"/>
    <mergeCell ref="S6:U6"/>
    <mergeCell ref="V6:V8"/>
    <mergeCell ref="L7:N7"/>
    <mergeCell ref="O7:P7"/>
    <mergeCell ref="Q7:R7"/>
    <mergeCell ref="S7:S8"/>
    <mergeCell ref="T7:T8"/>
    <mergeCell ref="U7:U8"/>
    <mergeCell ref="A46:A48"/>
    <mergeCell ref="B46:E46"/>
    <mergeCell ref="F46:K46"/>
    <mergeCell ref="L46:R46"/>
    <mergeCell ref="S46:U46"/>
    <mergeCell ref="J47:K47"/>
    <mergeCell ref="V26:V28"/>
    <mergeCell ref="W26:W28"/>
    <mergeCell ref="X26:X28"/>
    <mergeCell ref="B27:B28"/>
    <mergeCell ref="C27:C28"/>
    <mergeCell ref="D27:D28"/>
    <mergeCell ref="E27:E28"/>
    <mergeCell ref="F27:G27"/>
    <mergeCell ref="H27:I27"/>
    <mergeCell ref="A26:A28"/>
    <mergeCell ref="B26:E26"/>
    <mergeCell ref="F26:K26"/>
    <mergeCell ref="L26:R26"/>
    <mergeCell ref="S26:U26"/>
    <mergeCell ref="J27:K27"/>
    <mergeCell ref="L27:N27"/>
    <mergeCell ref="O27:P27"/>
    <mergeCell ref="Y46:Y48"/>
    <mergeCell ref="B47:B48"/>
    <mergeCell ref="C47:C48"/>
    <mergeCell ref="D47:D48"/>
    <mergeCell ref="E47:E48"/>
    <mergeCell ref="F47:G47"/>
    <mergeCell ref="H47:I47"/>
    <mergeCell ref="Q27:R27"/>
    <mergeCell ref="S27:S28"/>
    <mergeCell ref="T27:T28"/>
    <mergeCell ref="U27:U28"/>
    <mergeCell ref="Y26:Y28"/>
    <mergeCell ref="L47:N47"/>
    <mergeCell ref="O47:P47"/>
    <mergeCell ref="Q47:R47"/>
    <mergeCell ref="S47:S48"/>
    <mergeCell ref="T47:T48"/>
    <mergeCell ref="U47:U48"/>
    <mergeCell ref="V46:V48"/>
    <mergeCell ref="W46:W48"/>
    <mergeCell ref="X46:X48"/>
    <mergeCell ref="W66:W68"/>
    <mergeCell ref="X66:X68"/>
    <mergeCell ref="Y66:Y68"/>
    <mergeCell ref="B67:B68"/>
    <mergeCell ref="C67:C68"/>
    <mergeCell ref="D67:D68"/>
    <mergeCell ref="E67:E68"/>
    <mergeCell ref="F67:G67"/>
    <mergeCell ref="H67:I67"/>
    <mergeCell ref="J67:K67"/>
    <mergeCell ref="B66:E66"/>
    <mergeCell ref="F66:K66"/>
    <mergeCell ref="L66:R66"/>
    <mergeCell ref="S66:U66"/>
    <mergeCell ref="V66:V68"/>
    <mergeCell ref="L67:N67"/>
    <mergeCell ref="O67:P67"/>
    <mergeCell ref="Q67:R67"/>
    <mergeCell ref="S67:S68"/>
    <mergeCell ref="T67:T68"/>
    <mergeCell ref="U67:U68"/>
    <mergeCell ref="A86:A88"/>
    <mergeCell ref="B86:E86"/>
    <mergeCell ref="F86:K86"/>
    <mergeCell ref="L86:R86"/>
    <mergeCell ref="S86:U86"/>
    <mergeCell ref="J87:K87"/>
    <mergeCell ref="L87:N87"/>
    <mergeCell ref="O87:P87"/>
    <mergeCell ref="A66:A68"/>
    <mergeCell ref="B106:E106"/>
    <mergeCell ref="F106:K106"/>
    <mergeCell ref="L106:R106"/>
    <mergeCell ref="S106:U106"/>
    <mergeCell ref="J107:K107"/>
    <mergeCell ref="V86:V88"/>
    <mergeCell ref="W86:W88"/>
    <mergeCell ref="X86:X88"/>
    <mergeCell ref="B87:B88"/>
    <mergeCell ref="C87:C88"/>
    <mergeCell ref="D87:D88"/>
    <mergeCell ref="E87:E88"/>
    <mergeCell ref="F87:G87"/>
    <mergeCell ref="H87:I87"/>
    <mergeCell ref="A2:Y2"/>
    <mergeCell ref="T1:Y1"/>
    <mergeCell ref="Y106:Y108"/>
    <mergeCell ref="B107:B108"/>
    <mergeCell ref="C107:C108"/>
    <mergeCell ref="D107:D108"/>
    <mergeCell ref="E107:E108"/>
    <mergeCell ref="F107:G107"/>
    <mergeCell ref="H107:I107"/>
    <mergeCell ref="Q87:R87"/>
    <mergeCell ref="S87:S88"/>
    <mergeCell ref="T87:T88"/>
    <mergeCell ref="U87:U88"/>
    <mergeCell ref="Y86:Y88"/>
    <mergeCell ref="L107:N107"/>
    <mergeCell ref="O107:P107"/>
    <mergeCell ref="Q107:R107"/>
    <mergeCell ref="S107:S108"/>
    <mergeCell ref="T107:T108"/>
    <mergeCell ref="U107:U108"/>
    <mergeCell ref="V106:V108"/>
    <mergeCell ref="W106:W108"/>
    <mergeCell ref="X106:X108"/>
    <mergeCell ref="A106:A108"/>
  </mergeCells>
  <conditionalFormatting sqref="A6:A23">
    <cfRule type="cellIs" dxfId="62" priority="8" stopIfTrue="1" operator="equal">
      <formula>0</formula>
    </cfRule>
  </conditionalFormatting>
  <conditionalFormatting sqref="A26:A43">
    <cfRule type="cellIs" dxfId="61" priority="7" stopIfTrue="1" operator="equal">
      <formula>0</formula>
    </cfRule>
  </conditionalFormatting>
  <conditionalFormatting sqref="A46:A63">
    <cfRule type="cellIs" dxfId="60" priority="6" stopIfTrue="1" operator="equal">
      <formula>0</formula>
    </cfRule>
  </conditionalFormatting>
  <conditionalFormatting sqref="A66:A83">
    <cfRule type="cellIs" dxfId="59" priority="5" stopIfTrue="1" operator="equal">
      <formula>0</formula>
    </cfRule>
  </conditionalFormatting>
  <conditionalFormatting sqref="A86:A103">
    <cfRule type="cellIs" dxfId="58" priority="4" stopIfTrue="1" operator="equal">
      <formula>0</formula>
    </cfRule>
  </conditionalFormatting>
  <conditionalFormatting sqref="A106:A123">
    <cfRule type="cellIs" dxfId="57" priority="3" stopIfTrue="1" operator="equal">
      <formula>0</formula>
    </cfRule>
  </conditionalFormatting>
  <pageMargins left="0.7" right="0.7" top="0.75" bottom="0.75" header="0.3" footer="0.3"/>
  <pageSetup paperSize="9" scale="63"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68" zoomScaleNormal="68" zoomScaleSheetLayoutView="80" workbookViewId="0">
      <selection activeCell="L18" sqref="L18"/>
    </sheetView>
  </sheetViews>
  <sheetFormatPr defaultColWidth="9.140625" defaultRowHeight="15"/>
  <cols>
    <col min="1" max="1" width="49.140625" style="583" customWidth="1"/>
    <col min="2" max="7" width="10.5703125" style="584" customWidth="1"/>
    <col min="8" max="16384" width="9.140625" style="584"/>
  </cols>
  <sheetData>
    <row r="1" spans="1:13" ht="43.5" customHeight="1"/>
    <row r="2" spans="1:13" ht="25.5" customHeight="1">
      <c r="A2" s="1971" t="s">
        <v>775</v>
      </c>
      <c r="B2" s="1971"/>
      <c r="C2" s="1971"/>
      <c r="D2" s="1971"/>
      <c r="E2" s="1971"/>
      <c r="F2" s="1971"/>
      <c r="G2" s="1971"/>
    </row>
    <row r="3" spans="1:13" ht="8.25" customHeight="1">
      <c r="A3" s="1972"/>
      <c r="B3" s="1972"/>
      <c r="C3" s="1972"/>
      <c r="D3" s="1972"/>
      <c r="E3" s="1972"/>
      <c r="F3" s="1972"/>
      <c r="G3" s="1972"/>
    </row>
    <row r="4" spans="1:13" ht="22.5" customHeight="1">
      <c r="A4" s="1830" t="s">
        <v>224</v>
      </c>
      <c r="B4" s="1831">
        <v>2020</v>
      </c>
      <c r="C4" s="1831">
        <f>+B4+1</f>
        <v>2021</v>
      </c>
      <c r="D4" s="1831">
        <f t="shared" ref="D4:F4" si="0">+C4+1</f>
        <v>2022</v>
      </c>
      <c r="E4" s="1831">
        <f t="shared" si="0"/>
        <v>2023</v>
      </c>
      <c r="F4" s="1831">
        <f t="shared" si="0"/>
        <v>2024</v>
      </c>
      <c r="G4" s="1831">
        <f>F4+1</f>
        <v>2025</v>
      </c>
    </row>
    <row r="5" spans="1:13" s="585" customFormat="1" ht="24" customHeight="1">
      <c r="A5" s="1832" t="s">
        <v>593</v>
      </c>
      <c r="B5" s="818">
        <f>'2.ДП'!S23</f>
        <v>0</v>
      </c>
      <c r="C5" s="818">
        <f>'2.ДП'!S43</f>
        <v>0</v>
      </c>
      <c r="D5" s="818">
        <f>'2.ДП'!S63</f>
        <v>0</v>
      </c>
      <c r="E5" s="818">
        <f>'2.ДП'!S83</f>
        <v>0</v>
      </c>
      <c r="F5" s="818">
        <f>'2.ДП'!S103</f>
        <v>0</v>
      </c>
      <c r="G5" s="818">
        <f>'2.ДП'!S123</f>
        <v>0</v>
      </c>
    </row>
    <row r="6" spans="1:13" s="585" customFormat="1" ht="24" customHeight="1">
      <c r="A6" s="1833" t="s">
        <v>646</v>
      </c>
      <c r="B6" s="818">
        <f>'2.ДП'!S12</f>
        <v>0</v>
      </c>
      <c r="C6" s="818">
        <f>'2.ДП'!S32</f>
        <v>0</v>
      </c>
      <c r="D6" s="818">
        <f>'2.ДП'!S52</f>
        <v>0</v>
      </c>
      <c r="E6" s="818">
        <f>'2.ДП'!S72</f>
        <v>0</v>
      </c>
      <c r="F6" s="818">
        <f>'2.ДП'!S92</f>
        <v>0</v>
      </c>
      <c r="G6" s="818">
        <f>'2.ДП'!S112</f>
        <v>0</v>
      </c>
    </row>
    <row r="7" spans="1:13" s="585" customFormat="1" ht="24" customHeight="1">
      <c r="A7" s="1833" t="s">
        <v>645</v>
      </c>
      <c r="B7" s="818">
        <f>'2.ДП'!F21+'2.ДП'!F22</f>
        <v>0</v>
      </c>
      <c r="C7" s="818">
        <f>'2.ДП'!F41+'2.ДП'!F42</f>
        <v>0</v>
      </c>
      <c r="D7" s="818">
        <f>'2.ДП'!F61+'2.ДП'!F62</f>
        <v>0</v>
      </c>
      <c r="E7" s="818">
        <f>'2.ДП'!F81+'2.ДП'!F82</f>
        <v>0</v>
      </c>
      <c r="F7" s="818">
        <f>'2.ДП'!F101+'2.ДП'!F102</f>
        <v>0</v>
      </c>
      <c r="G7" s="818">
        <f>'2.ДП'!F121+'2.ДП'!F122</f>
        <v>0</v>
      </c>
    </row>
    <row r="8" spans="1:13" s="585" customFormat="1" ht="24" customHeight="1">
      <c r="A8" s="1833" t="s">
        <v>644</v>
      </c>
      <c r="B8" s="2368"/>
      <c r="C8" s="2368"/>
      <c r="D8" s="2368"/>
      <c r="E8" s="2368"/>
      <c r="F8" s="2368"/>
      <c r="G8" s="2368"/>
      <c r="I8" s="2367" t="s">
        <v>765</v>
      </c>
      <c r="J8" s="2367"/>
      <c r="K8" s="2367"/>
      <c r="L8" s="2367"/>
      <c r="M8" s="2367"/>
    </row>
    <row r="9" spans="1:13" s="585" customFormat="1" ht="24" customHeight="1">
      <c r="A9" s="1832" t="s">
        <v>643</v>
      </c>
      <c r="B9" s="818">
        <f>'2.ДП'!Q23</f>
        <v>0</v>
      </c>
      <c r="C9" s="818">
        <f>'2.ДП'!Q43</f>
        <v>0</v>
      </c>
      <c r="D9" s="818">
        <f>'2.ДП'!Q63</f>
        <v>0</v>
      </c>
      <c r="E9" s="818">
        <f>'2.ДП'!Q83</f>
        <v>0</v>
      </c>
      <c r="F9" s="818">
        <f>'2.ДП'!Q103</f>
        <v>0</v>
      </c>
      <c r="G9" s="818">
        <f>'2.ДП'!Q123</f>
        <v>0</v>
      </c>
    </row>
    <row r="10" spans="1:13" s="586" customFormat="1" ht="24" customHeight="1">
      <c r="A10" s="1833" t="s">
        <v>648</v>
      </c>
      <c r="B10" s="818">
        <f>'2.ДП'!H23</f>
        <v>0</v>
      </c>
      <c r="C10" s="818">
        <f>'2.ДП'!H43</f>
        <v>0</v>
      </c>
      <c r="D10" s="818">
        <f>'2.ДП'!H63</f>
        <v>0</v>
      </c>
      <c r="E10" s="818">
        <f>'2.ДП'!H83</f>
        <v>0</v>
      </c>
      <c r="F10" s="818">
        <f>'2.ДП'!H103</f>
        <v>0</v>
      </c>
      <c r="G10" s="818">
        <f>'2.ДП'!H123</f>
        <v>0</v>
      </c>
    </row>
    <row r="11" spans="1:13" s="586" customFormat="1" ht="24" customHeight="1">
      <c r="A11" s="1833" t="s">
        <v>649</v>
      </c>
      <c r="B11" s="819">
        <f>'2.ДП'!I23</f>
        <v>0</v>
      </c>
      <c r="C11" s="819">
        <f>'2.ДП'!H43</f>
        <v>0</v>
      </c>
      <c r="D11" s="819">
        <f>'2.ДП'!I63</f>
        <v>0</v>
      </c>
      <c r="E11" s="819">
        <f>'2.ДП'!I83</f>
        <v>0</v>
      </c>
      <c r="F11" s="819">
        <f>'2.ДП'!I103</f>
        <v>0</v>
      </c>
      <c r="G11" s="819">
        <f>'2.ДП'!I123</f>
        <v>0</v>
      </c>
    </row>
    <row r="12" spans="1:13" s="586" customFormat="1" ht="24" customHeight="1">
      <c r="A12" s="1833" t="s">
        <v>640</v>
      </c>
      <c r="B12" s="818">
        <f>'2.ДП'!L23</f>
        <v>0</v>
      </c>
      <c r="C12" s="818">
        <f>'2.ДП'!L43</f>
        <v>0</v>
      </c>
      <c r="D12" s="818">
        <f>'2.ДП'!L63</f>
        <v>0</v>
      </c>
      <c r="E12" s="818">
        <f>'2.ДП'!L83</f>
        <v>0</v>
      </c>
      <c r="F12" s="818">
        <f>'2.ДП'!L103</f>
        <v>0</v>
      </c>
      <c r="G12" s="818">
        <f>'2.ДП'!L123</f>
        <v>0</v>
      </c>
    </row>
    <row r="13" spans="1:13" s="585" customFormat="1" ht="24" customHeight="1">
      <c r="A13" s="1833" t="s">
        <v>670</v>
      </c>
      <c r="B13" s="819">
        <f>'2.ДП'!N23</f>
        <v>0</v>
      </c>
      <c r="C13" s="819">
        <f>'2.ДП'!N43</f>
        <v>0</v>
      </c>
      <c r="D13" s="819">
        <f>'2.ДП'!N63</f>
        <v>0</v>
      </c>
      <c r="E13" s="819">
        <f>'2.ДП'!N83</f>
        <v>0</v>
      </c>
      <c r="F13" s="819">
        <f>'2.ДП'!N103</f>
        <v>0</v>
      </c>
      <c r="G13" s="819">
        <f>'2.ДП'!N123</f>
        <v>0</v>
      </c>
    </row>
    <row r="14" spans="1:13" s="1412" customFormat="1" ht="33" hidden="1" customHeight="1">
      <c r="A14" s="1834" t="s">
        <v>607</v>
      </c>
      <c r="B14" s="817" t="e">
        <f>#REF!*0.25</f>
        <v>#REF!</v>
      </c>
      <c r="C14" s="817" t="e">
        <f>#REF!*0.25</f>
        <v>#REF!</v>
      </c>
      <c r="D14" s="817" t="e">
        <f>#REF!*0.25</f>
        <v>#REF!</v>
      </c>
      <c r="E14" s="817" t="e">
        <f>#REF!*0.25</f>
        <v>#REF!</v>
      </c>
      <c r="F14" s="817" t="e">
        <f>#REF!*0.25</f>
        <v>#REF!</v>
      </c>
      <c r="G14" s="817" t="e">
        <f>#REF!*0.25</f>
        <v>#REF!</v>
      </c>
    </row>
    <row r="15" spans="1:13" s="585" customFormat="1" ht="17.25" hidden="1" customHeight="1">
      <c r="A15" s="1835" t="s">
        <v>610</v>
      </c>
      <c r="B15" s="1411"/>
      <c r="C15" s="1411"/>
      <c r="D15" s="1411"/>
      <c r="E15" s="1411"/>
      <c r="F15" s="1411"/>
      <c r="G15" s="1411"/>
    </row>
    <row r="16" spans="1:13" s="585" customFormat="1" ht="17.25" hidden="1" customHeight="1">
      <c r="A16" s="1832" t="s">
        <v>608</v>
      </c>
      <c r="B16" s="819" t="e">
        <f>+B14*B15/1000</f>
        <v>#REF!</v>
      </c>
      <c r="C16" s="819" t="e">
        <f t="shared" ref="C16:G16" si="1">+C14*C15/1000</f>
        <v>#REF!</v>
      </c>
      <c r="D16" s="819" t="e">
        <f t="shared" si="1"/>
        <v>#REF!</v>
      </c>
      <c r="E16" s="819" t="e">
        <f t="shared" si="1"/>
        <v>#REF!</v>
      </c>
      <c r="F16" s="819" t="e">
        <f t="shared" si="1"/>
        <v>#REF!</v>
      </c>
      <c r="G16" s="819" t="e">
        <f t="shared" si="1"/>
        <v>#REF!</v>
      </c>
    </row>
    <row r="17" spans="1:7" s="585" customFormat="1" ht="36.75" customHeight="1">
      <c r="A17" s="1832" t="s">
        <v>753</v>
      </c>
      <c r="B17" s="819">
        <f>B13*0.8</f>
        <v>0</v>
      </c>
      <c r="C17" s="819">
        <f t="shared" ref="C17:G17" si="2">C13*0.8</f>
        <v>0</v>
      </c>
      <c r="D17" s="819">
        <f t="shared" si="2"/>
        <v>0</v>
      </c>
      <c r="E17" s="819">
        <f t="shared" si="2"/>
        <v>0</v>
      </c>
      <c r="F17" s="819">
        <f t="shared" si="2"/>
        <v>0</v>
      </c>
      <c r="G17" s="819">
        <f t="shared" si="2"/>
        <v>0</v>
      </c>
    </row>
    <row r="18" spans="1:7" s="585" customFormat="1" ht="36.75" customHeight="1">
      <c r="A18" s="1836" t="s">
        <v>752</v>
      </c>
      <c r="B18" s="1823"/>
      <c r="C18" s="1823"/>
      <c r="D18" s="1823"/>
      <c r="E18" s="1823"/>
      <c r="F18" s="1823"/>
      <c r="G18" s="1823"/>
    </row>
    <row r="19" spans="1:7" s="585" customFormat="1" ht="17.25" customHeight="1">
      <c r="A19" s="1837" t="s">
        <v>678</v>
      </c>
      <c r="B19" s="817"/>
      <c r="C19" s="817"/>
      <c r="D19" s="817"/>
      <c r="E19" s="817"/>
      <c r="F19" s="817"/>
      <c r="G19" s="817"/>
    </row>
    <row r="20" spans="1:7" s="585" customFormat="1" ht="17.25" customHeight="1">
      <c r="A20" s="1837" t="s">
        <v>675</v>
      </c>
      <c r="B20" s="1824"/>
      <c r="C20" s="1824"/>
      <c r="D20" s="1824"/>
      <c r="E20" s="1824"/>
      <c r="F20" s="1824"/>
      <c r="G20" s="1824"/>
    </row>
    <row r="21" spans="1:7" s="585" customFormat="1" ht="17.25" customHeight="1">
      <c r="A21" s="1837" t="s">
        <v>676</v>
      </c>
      <c r="B21" s="1824"/>
      <c r="C21" s="1824"/>
      <c r="D21" s="1824"/>
      <c r="E21" s="1824"/>
      <c r="F21" s="1824"/>
      <c r="G21" s="1824"/>
    </row>
    <row r="22" spans="1:7" s="586" customFormat="1" ht="21" customHeight="1">
      <c r="A22" s="1837" t="s">
        <v>677</v>
      </c>
      <c r="B22" s="1409">
        <f>B20*B21/10</f>
        <v>0</v>
      </c>
      <c r="C22" s="1409">
        <f t="shared" ref="C22:G22" si="3">C20*C21/10</f>
        <v>0</v>
      </c>
      <c r="D22" s="1409">
        <f t="shared" si="3"/>
        <v>0</v>
      </c>
      <c r="E22" s="1409">
        <f t="shared" si="3"/>
        <v>0</v>
      </c>
      <c r="F22" s="1409">
        <f t="shared" si="3"/>
        <v>0</v>
      </c>
      <c r="G22" s="1409">
        <f t="shared" si="3"/>
        <v>0</v>
      </c>
    </row>
    <row r="23" spans="1:7" s="585" customFormat="1" ht="17.25" customHeight="1">
      <c r="A23" s="1837" t="s">
        <v>756</v>
      </c>
      <c r="B23" s="1824"/>
      <c r="C23" s="1824"/>
      <c r="D23" s="1824"/>
      <c r="E23" s="1824"/>
      <c r="F23" s="1824"/>
      <c r="G23" s="1824"/>
    </row>
    <row r="24" spans="1:7" s="585" customFormat="1" ht="20.25" customHeight="1">
      <c r="A24" s="1832" t="s">
        <v>401</v>
      </c>
      <c r="B24" s="1825">
        <f>'5.ФОТ'!C9</f>
        <v>0</v>
      </c>
      <c r="C24" s="1825">
        <f>'5.ФОТ'!C14</f>
        <v>0</v>
      </c>
      <c r="D24" s="1825">
        <f>'5.ФОТ'!C19</f>
        <v>0</v>
      </c>
      <c r="E24" s="1825">
        <f>'5.ФОТ'!C24</f>
        <v>0</v>
      </c>
      <c r="F24" s="1825">
        <f>'5.ФОТ'!C29</f>
        <v>0</v>
      </c>
      <c r="G24" s="1825">
        <f>'5.ФОТ'!C34</f>
        <v>0</v>
      </c>
    </row>
    <row r="25" spans="1:7" s="585" customFormat="1" ht="33.75" customHeight="1">
      <c r="A25" s="1833" t="s">
        <v>639</v>
      </c>
      <c r="B25" s="1838">
        <f>'5.ФОТ'!H9</f>
        <v>0</v>
      </c>
      <c r="C25" s="1838">
        <f>'5.ФОТ'!H14</f>
        <v>0</v>
      </c>
      <c r="D25" s="1838">
        <f>'5.ФОТ'!H19</f>
        <v>0</v>
      </c>
      <c r="E25" s="1838">
        <f>'5.ФОТ'!H24</f>
        <v>0</v>
      </c>
      <c r="F25" s="1838">
        <f>'5.ФОТ'!H29</f>
        <v>0</v>
      </c>
      <c r="G25" s="1838">
        <f>'5.ФОТ'!H34</f>
        <v>0</v>
      </c>
    </row>
    <row r="26" spans="1:7" s="586" customFormat="1" ht="23.25" customHeight="1">
      <c r="A26" s="1839" t="s">
        <v>692</v>
      </c>
      <c r="B26" s="1840" t="e">
        <f>'5.ФОТ'!E9/ППП!B24</f>
        <v>#DIV/0!</v>
      </c>
      <c r="C26" s="1840" t="e">
        <f>'5.ФОТ'!G14/ППП!C24</f>
        <v>#DIV/0!</v>
      </c>
      <c r="D26" s="1840" t="e">
        <f>'5.ФОТ'!E19/D24</f>
        <v>#DIV/0!</v>
      </c>
      <c r="E26" s="1840" t="e">
        <f>'5.ФОТ'!E24/E24</f>
        <v>#DIV/0!</v>
      </c>
      <c r="F26" s="1840" t="e">
        <f>'5.ФОТ'!E29/F24</f>
        <v>#DIV/0!</v>
      </c>
      <c r="G26" s="1840" t="e">
        <f>'5.ФОТ'!E34/G24</f>
        <v>#DIV/0!</v>
      </c>
    </row>
    <row r="29" spans="1:7">
      <c r="A29" s="1841" t="s">
        <v>691</v>
      </c>
      <c r="B29" s="1841"/>
      <c r="C29" s="1841"/>
      <c r="D29" s="587"/>
      <c r="E29" s="587"/>
      <c r="F29" s="588"/>
    </row>
    <row r="30" spans="1:7">
      <c r="A30" s="589"/>
      <c r="B30" s="589"/>
      <c r="C30" s="589"/>
      <c r="D30" s="589"/>
      <c r="E30" s="589"/>
      <c r="F30" s="590"/>
    </row>
    <row r="31" spans="1:7">
      <c r="A31" s="591"/>
      <c r="B31" s="592"/>
      <c r="C31" s="593"/>
      <c r="D31" s="593"/>
      <c r="E31" s="593"/>
      <c r="F31" s="594"/>
    </row>
    <row r="32" spans="1:7">
      <c r="A32" s="591"/>
      <c r="B32" s="592"/>
      <c r="C32" s="595"/>
      <c r="D32" s="593"/>
      <c r="E32" s="596"/>
      <c r="F32" s="597"/>
    </row>
    <row r="33" spans="1:6">
      <c r="A33" s="591"/>
      <c r="B33" s="592"/>
      <c r="C33" s="595"/>
      <c r="D33" s="593"/>
      <c r="E33" s="596"/>
      <c r="F33" s="597"/>
    </row>
    <row r="34" spans="1:6">
      <c r="A34" s="591"/>
      <c r="B34" s="592"/>
      <c r="C34" s="595"/>
      <c r="D34" s="593"/>
      <c r="E34" s="596"/>
      <c r="F34" s="597"/>
    </row>
    <row r="35" spans="1:6">
      <c r="A35" s="598"/>
      <c r="B35" s="599"/>
      <c r="C35" s="589"/>
      <c r="D35" s="589"/>
      <c r="E35" s="589"/>
      <c r="F35" s="590"/>
    </row>
  </sheetData>
  <mergeCells count="3">
    <mergeCell ref="A2:G2"/>
    <mergeCell ref="A3:G3"/>
    <mergeCell ref="I8:M8"/>
  </mergeCells>
  <conditionalFormatting sqref="B5:G26">
    <cfRule type="cellIs" dxfId="56" priority="1" operator="equal">
      <formula>0</formula>
    </cfRule>
  </conditionalFormatting>
  <printOptions horizontalCentered="1"/>
  <pageMargins left="0.78740157480314965" right="0.39370078740157483" top="0.78740157480314965" bottom="0.78740157480314965"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84"/>
  <sheetViews>
    <sheetView view="pageBreakPreview" topLeftCell="A16" zoomScale="90" zoomScaleNormal="100" zoomScaleSheetLayoutView="90" workbookViewId="0">
      <selection activeCell="AD2" sqref="AD2"/>
    </sheetView>
  </sheetViews>
  <sheetFormatPr defaultRowHeight="11.25"/>
  <cols>
    <col min="1" max="1" width="18.5703125" style="346" customWidth="1"/>
    <col min="2" max="2" width="4.7109375" style="302" customWidth="1"/>
    <col min="3" max="3" width="5" style="302" customWidth="1"/>
    <col min="4" max="4" width="6.42578125" style="303" customWidth="1"/>
    <col min="5" max="5" width="4.5703125" style="304" customWidth="1"/>
    <col min="6" max="6" width="6.42578125" style="305" customWidth="1"/>
    <col min="7" max="7" width="5.28515625" style="302" customWidth="1"/>
    <col min="8" max="8" width="5.5703125" style="306" customWidth="1"/>
    <col min="9" max="9" width="5" style="302" customWidth="1"/>
    <col min="10" max="10" width="5.7109375" style="306" customWidth="1"/>
    <col min="11" max="11" width="4.28515625" style="302" customWidth="1"/>
    <col min="12" max="12" width="5.7109375" style="306" customWidth="1"/>
    <col min="13" max="13" width="5.140625" style="302" customWidth="1"/>
    <col min="14" max="14" width="5.7109375" style="306" customWidth="1"/>
    <col min="15" max="15" width="5" style="302" customWidth="1"/>
    <col min="16" max="16" width="6.140625" style="302" customWidth="1"/>
    <col min="17" max="17" width="5.42578125" style="306" customWidth="1"/>
    <col min="18" max="18" width="4.85546875" style="302" customWidth="1"/>
    <col min="19" max="19" width="6" style="306" customWidth="1"/>
    <col min="20" max="20" width="4.85546875" style="302" bestFit="1" customWidth="1"/>
    <col min="21" max="21" width="5" style="306" customWidth="1"/>
    <col min="22" max="22" width="6.7109375" style="302" customWidth="1"/>
    <col min="23" max="23" width="5.5703125" style="306" customWidth="1"/>
    <col min="24" max="24" width="5.140625" style="302" customWidth="1"/>
    <col min="25" max="25" width="5.5703125" style="306" customWidth="1"/>
    <col min="26" max="26" width="5.140625" style="304" customWidth="1"/>
    <col min="27" max="27" width="4.85546875" style="302" customWidth="1"/>
    <col min="28" max="28" width="7.28515625" style="302" customWidth="1"/>
    <col min="29" max="29" width="6.5703125" style="307" customWidth="1"/>
    <col min="30" max="30" width="7.42578125" style="302" customWidth="1"/>
    <col min="31" max="31" width="2.7109375" style="843" customWidth="1"/>
    <col min="32" max="32" width="8.85546875" style="300" customWidth="1"/>
    <col min="33" max="33" width="13.42578125" style="300" customWidth="1"/>
    <col min="34" max="257" width="9.140625" style="300"/>
    <col min="258" max="258" width="18.5703125" style="300" customWidth="1"/>
    <col min="259" max="259" width="4.7109375" style="300" customWidth="1"/>
    <col min="260" max="260" width="5" style="300" customWidth="1"/>
    <col min="261" max="261" width="6.42578125" style="300" customWidth="1"/>
    <col min="262" max="262" width="4.5703125" style="300" customWidth="1"/>
    <col min="263" max="263" width="6.42578125" style="300" customWidth="1"/>
    <col min="264" max="264" width="5.28515625" style="300" customWidth="1"/>
    <col min="265" max="265" width="5.42578125" style="300" customWidth="1"/>
    <col min="266" max="266" width="5" style="300" customWidth="1"/>
    <col min="267" max="267" width="5.28515625" style="300" customWidth="1"/>
    <col min="268" max="268" width="4.28515625" style="300" customWidth="1"/>
    <col min="269" max="269" width="5.7109375" style="300" customWidth="1"/>
    <col min="270" max="270" width="5.140625" style="300" customWidth="1"/>
    <col min="271" max="271" width="5.7109375" style="300" customWidth="1"/>
    <col min="272" max="272" width="5" style="300" customWidth="1"/>
    <col min="273" max="273" width="6.140625" style="300" customWidth="1"/>
    <col min="274" max="274" width="5.42578125" style="300" customWidth="1"/>
    <col min="275" max="275" width="4.85546875" style="300" customWidth="1"/>
    <col min="276" max="276" width="6" style="300" customWidth="1"/>
    <col min="277" max="277" width="4.85546875" style="300" bestFit="1" customWidth="1"/>
    <col min="278" max="278" width="5" style="300" customWidth="1"/>
    <col min="279" max="279" width="6.7109375" style="300" customWidth="1"/>
    <col min="280" max="280" width="4.7109375" style="300" customWidth="1"/>
    <col min="281" max="281" width="5.140625" style="300" customWidth="1"/>
    <col min="282" max="282" width="5.5703125" style="300" customWidth="1"/>
    <col min="283" max="283" width="5.140625" style="300" customWidth="1"/>
    <col min="284" max="284" width="4.85546875" style="300" customWidth="1"/>
    <col min="285" max="285" width="7.28515625" style="300" customWidth="1"/>
    <col min="286" max="286" width="6.5703125" style="300" customWidth="1"/>
    <col min="287" max="287" width="7.42578125" style="300" customWidth="1"/>
    <col min="288" max="288" width="5.140625" style="300" customWidth="1"/>
    <col min="289" max="513" width="9.140625" style="300"/>
    <col min="514" max="514" width="18.5703125" style="300" customWidth="1"/>
    <col min="515" max="515" width="4.7109375" style="300" customWidth="1"/>
    <col min="516" max="516" width="5" style="300" customWidth="1"/>
    <col min="517" max="517" width="6.42578125" style="300" customWidth="1"/>
    <col min="518" max="518" width="4.5703125" style="300" customWidth="1"/>
    <col min="519" max="519" width="6.42578125" style="300" customWidth="1"/>
    <col min="520" max="520" width="5.28515625" style="300" customWidth="1"/>
    <col min="521" max="521" width="5.42578125" style="300" customWidth="1"/>
    <col min="522" max="522" width="5" style="300" customWidth="1"/>
    <col min="523" max="523" width="5.28515625" style="300" customWidth="1"/>
    <col min="524" max="524" width="4.28515625" style="300" customWidth="1"/>
    <col min="525" max="525" width="5.7109375" style="300" customWidth="1"/>
    <col min="526" max="526" width="5.140625" style="300" customWidth="1"/>
    <col min="527" max="527" width="5.7109375" style="300" customWidth="1"/>
    <col min="528" max="528" width="5" style="300" customWidth="1"/>
    <col min="529" max="529" width="6.140625" style="300" customWidth="1"/>
    <col min="530" max="530" width="5.42578125" style="300" customWidth="1"/>
    <col min="531" max="531" width="4.85546875" style="300" customWidth="1"/>
    <col min="532" max="532" width="6" style="300" customWidth="1"/>
    <col min="533" max="533" width="4.85546875" style="300" bestFit="1" customWidth="1"/>
    <col min="534" max="534" width="5" style="300" customWidth="1"/>
    <col min="535" max="535" width="6.7109375" style="300" customWidth="1"/>
    <col min="536" max="536" width="4.7109375" style="300" customWidth="1"/>
    <col min="537" max="537" width="5.140625" style="300" customWidth="1"/>
    <col min="538" max="538" width="5.5703125" style="300" customWidth="1"/>
    <col min="539" max="539" width="5.140625" style="300" customWidth="1"/>
    <col min="540" max="540" width="4.85546875" style="300" customWidth="1"/>
    <col min="541" max="541" width="7.28515625" style="300" customWidth="1"/>
    <col min="542" max="542" width="6.5703125" style="300" customWidth="1"/>
    <col min="543" max="543" width="7.42578125" style="300" customWidth="1"/>
    <col min="544" max="544" width="5.140625" style="300" customWidth="1"/>
    <col min="545" max="769" width="9.140625" style="300"/>
    <col min="770" max="770" width="18.5703125" style="300" customWidth="1"/>
    <col min="771" max="771" width="4.7109375" style="300" customWidth="1"/>
    <col min="772" max="772" width="5" style="300" customWidth="1"/>
    <col min="773" max="773" width="6.42578125" style="300" customWidth="1"/>
    <col min="774" max="774" width="4.5703125" style="300" customWidth="1"/>
    <col min="775" max="775" width="6.42578125" style="300" customWidth="1"/>
    <col min="776" max="776" width="5.28515625" style="300" customWidth="1"/>
    <col min="777" max="777" width="5.42578125" style="300" customWidth="1"/>
    <col min="778" max="778" width="5" style="300" customWidth="1"/>
    <col min="779" max="779" width="5.28515625" style="300" customWidth="1"/>
    <col min="780" max="780" width="4.28515625" style="300" customWidth="1"/>
    <col min="781" max="781" width="5.7109375" style="300" customWidth="1"/>
    <col min="782" max="782" width="5.140625" style="300" customWidth="1"/>
    <col min="783" max="783" width="5.7109375" style="300" customWidth="1"/>
    <col min="784" max="784" width="5" style="300" customWidth="1"/>
    <col min="785" max="785" width="6.140625" style="300" customWidth="1"/>
    <col min="786" max="786" width="5.42578125" style="300" customWidth="1"/>
    <col min="787" max="787" width="4.85546875" style="300" customWidth="1"/>
    <col min="788" max="788" width="6" style="300" customWidth="1"/>
    <col min="789" max="789" width="4.85546875" style="300" bestFit="1" customWidth="1"/>
    <col min="790" max="790" width="5" style="300" customWidth="1"/>
    <col min="791" max="791" width="6.7109375" style="300" customWidth="1"/>
    <col min="792" max="792" width="4.7109375" style="300" customWidth="1"/>
    <col min="793" max="793" width="5.140625" style="300" customWidth="1"/>
    <col min="794" max="794" width="5.5703125" style="300" customWidth="1"/>
    <col min="795" max="795" width="5.140625" style="300" customWidth="1"/>
    <col min="796" max="796" width="4.85546875" style="300" customWidth="1"/>
    <col min="797" max="797" width="7.28515625" style="300" customWidth="1"/>
    <col min="798" max="798" width="6.5703125" style="300" customWidth="1"/>
    <col min="799" max="799" width="7.42578125" style="300" customWidth="1"/>
    <col min="800" max="800" width="5.140625" style="300" customWidth="1"/>
    <col min="801" max="1025" width="9.140625" style="300"/>
    <col min="1026" max="1026" width="18.5703125" style="300" customWidth="1"/>
    <col min="1027" max="1027" width="4.7109375" style="300" customWidth="1"/>
    <col min="1028" max="1028" width="5" style="300" customWidth="1"/>
    <col min="1029" max="1029" width="6.42578125" style="300" customWidth="1"/>
    <col min="1030" max="1030" width="4.5703125" style="300" customWidth="1"/>
    <col min="1031" max="1031" width="6.42578125" style="300" customWidth="1"/>
    <col min="1032" max="1032" width="5.28515625" style="300" customWidth="1"/>
    <col min="1033" max="1033" width="5.42578125" style="300" customWidth="1"/>
    <col min="1034" max="1034" width="5" style="300" customWidth="1"/>
    <col min="1035" max="1035" width="5.28515625" style="300" customWidth="1"/>
    <col min="1036" max="1036" width="4.28515625" style="300" customWidth="1"/>
    <col min="1037" max="1037" width="5.7109375" style="300" customWidth="1"/>
    <col min="1038" max="1038" width="5.140625" style="300" customWidth="1"/>
    <col min="1039" max="1039" width="5.7109375" style="300" customWidth="1"/>
    <col min="1040" max="1040" width="5" style="300" customWidth="1"/>
    <col min="1041" max="1041" width="6.140625" style="300" customWidth="1"/>
    <col min="1042" max="1042" width="5.42578125" style="300" customWidth="1"/>
    <col min="1043" max="1043" width="4.85546875" style="300" customWidth="1"/>
    <col min="1044" max="1044" width="6" style="300" customWidth="1"/>
    <col min="1045" max="1045" width="4.85546875" style="300" bestFit="1" customWidth="1"/>
    <col min="1046" max="1046" width="5" style="300" customWidth="1"/>
    <col min="1047" max="1047" width="6.7109375" style="300" customWidth="1"/>
    <col min="1048" max="1048" width="4.7109375" style="300" customWidth="1"/>
    <col min="1049" max="1049" width="5.140625" style="300" customWidth="1"/>
    <col min="1050" max="1050" width="5.5703125" style="300" customWidth="1"/>
    <col min="1051" max="1051" width="5.140625" style="300" customWidth="1"/>
    <col min="1052" max="1052" width="4.85546875" style="300" customWidth="1"/>
    <col min="1053" max="1053" width="7.28515625" style="300" customWidth="1"/>
    <col min="1054" max="1054" width="6.5703125" style="300" customWidth="1"/>
    <col min="1055" max="1055" width="7.42578125" style="300" customWidth="1"/>
    <col min="1056" max="1056" width="5.140625" style="300" customWidth="1"/>
    <col min="1057" max="1281" width="9.140625" style="300"/>
    <col min="1282" max="1282" width="18.5703125" style="300" customWidth="1"/>
    <col min="1283" max="1283" width="4.7109375" style="300" customWidth="1"/>
    <col min="1284" max="1284" width="5" style="300" customWidth="1"/>
    <col min="1285" max="1285" width="6.42578125" style="300" customWidth="1"/>
    <col min="1286" max="1286" width="4.5703125" style="300" customWidth="1"/>
    <col min="1287" max="1287" width="6.42578125" style="300" customWidth="1"/>
    <col min="1288" max="1288" width="5.28515625" style="300" customWidth="1"/>
    <col min="1289" max="1289" width="5.42578125" style="300" customWidth="1"/>
    <col min="1290" max="1290" width="5" style="300" customWidth="1"/>
    <col min="1291" max="1291" width="5.28515625" style="300" customWidth="1"/>
    <col min="1292" max="1292" width="4.28515625" style="300" customWidth="1"/>
    <col min="1293" max="1293" width="5.7109375" style="300" customWidth="1"/>
    <col min="1294" max="1294" width="5.140625" style="300" customWidth="1"/>
    <col min="1295" max="1295" width="5.7109375" style="300" customWidth="1"/>
    <col min="1296" max="1296" width="5" style="300" customWidth="1"/>
    <col min="1297" max="1297" width="6.140625" style="300" customWidth="1"/>
    <col min="1298" max="1298" width="5.42578125" style="300" customWidth="1"/>
    <col min="1299" max="1299" width="4.85546875" style="300" customWidth="1"/>
    <col min="1300" max="1300" width="6" style="300" customWidth="1"/>
    <col min="1301" max="1301" width="4.85546875" style="300" bestFit="1" customWidth="1"/>
    <col min="1302" max="1302" width="5" style="300" customWidth="1"/>
    <col min="1303" max="1303" width="6.7109375" style="300" customWidth="1"/>
    <col min="1304" max="1304" width="4.7109375" style="300" customWidth="1"/>
    <col min="1305" max="1305" width="5.140625" style="300" customWidth="1"/>
    <col min="1306" max="1306" width="5.5703125" style="300" customWidth="1"/>
    <col min="1307" max="1307" width="5.140625" style="300" customWidth="1"/>
    <col min="1308" max="1308" width="4.85546875" style="300" customWidth="1"/>
    <col min="1309" max="1309" width="7.28515625" style="300" customWidth="1"/>
    <col min="1310" max="1310" width="6.5703125" style="300" customWidth="1"/>
    <col min="1311" max="1311" width="7.42578125" style="300" customWidth="1"/>
    <col min="1312" max="1312" width="5.140625" style="300" customWidth="1"/>
    <col min="1313" max="1537" width="9.140625" style="300"/>
    <col min="1538" max="1538" width="18.5703125" style="300" customWidth="1"/>
    <col min="1539" max="1539" width="4.7109375" style="300" customWidth="1"/>
    <col min="1540" max="1540" width="5" style="300" customWidth="1"/>
    <col min="1541" max="1541" width="6.42578125" style="300" customWidth="1"/>
    <col min="1542" max="1542" width="4.5703125" style="300" customWidth="1"/>
    <col min="1543" max="1543" width="6.42578125" style="300" customWidth="1"/>
    <col min="1544" max="1544" width="5.28515625" style="300" customWidth="1"/>
    <col min="1545" max="1545" width="5.42578125" style="300" customWidth="1"/>
    <col min="1546" max="1546" width="5" style="300" customWidth="1"/>
    <col min="1547" max="1547" width="5.28515625" style="300" customWidth="1"/>
    <col min="1548" max="1548" width="4.28515625" style="300" customWidth="1"/>
    <col min="1549" max="1549" width="5.7109375" style="300" customWidth="1"/>
    <col min="1550" max="1550" width="5.140625" style="300" customWidth="1"/>
    <col min="1551" max="1551" width="5.7109375" style="300" customWidth="1"/>
    <col min="1552" max="1552" width="5" style="300" customWidth="1"/>
    <col min="1553" max="1553" width="6.140625" style="300" customWidth="1"/>
    <col min="1554" max="1554" width="5.42578125" style="300" customWidth="1"/>
    <col min="1555" max="1555" width="4.85546875" style="300" customWidth="1"/>
    <col min="1556" max="1556" width="6" style="300" customWidth="1"/>
    <col min="1557" max="1557" width="4.85546875" style="300" bestFit="1" customWidth="1"/>
    <col min="1558" max="1558" width="5" style="300" customWidth="1"/>
    <col min="1559" max="1559" width="6.7109375" style="300" customWidth="1"/>
    <col min="1560" max="1560" width="4.7109375" style="300" customWidth="1"/>
    <col min="1561" max="1561" width="5.140625" style="300" customWidth="1"/>
    <col min="1562" max="1562" width="5.5703125" style="300" customWidth="1"/>
    <col min="1563" max="1563" width="5.140625" style="300" customWidth="1"/>
    <col min="1564" max="1564" width="4.85546875" style="300" customWidth="1"/>
    <col min="1565" max="1565" width="7.28515625" style="300" customWidth="1"/>
    <col min="1566" max="1566" width="6.5703125" style="300" customWidth="1"/>
    <col min="1567" max="1567" width="7.42578125" style="300" customWidth="1"/>
    <col min="1568" max="1568" width="5.140625" style="300" customWidth="1"/>
    <col min="1569" max="1793" width="9.140625" style="300"/>
    <col min="1794" max="1794" width="18.5703125" style="300" customWidth="1"/>
    <col min="1795" max="1795" width="4.7109375" style="300" customWidth="1"/>
    <col min="1796" max="1796" width="5" style="300" customWidth="1"/>
    <col min="1797" max="1797" width="6.42578125" style="300" customWidth="1"/>
    <col min="1798" max="1798" width="4.5703125" style="300" customWidth="1"/>
    <col min="1799" max="1799" width="6.42578125" style="300" customWidth="1"/>
    <col min="1800" max="1800" width="5.28515625" style="300" customWidth="1"/>
    <col min="1801" max="1801" width="5.42578125" style="300" customWidth="1"/>
    <col min="1802" max="1802" width="5" style="300" customWidth="1"/>
    <col min="1803" max="1803" width="5.28515625" style="300" customWidth="1"/>
    <col min="1804" max="1804" width="4.28515625" style="300" customWidth="1"/>
    <col min="1805" max="1805" width="5.7109375" style="300" customWidth="1"/>
    <col min="1806" max="1806" width="5.140625" style="300" customWidth="1"/>
    <col min="1807" max="1807" width="5.7109375" style="300" customWidth="1"/>
    <col min="1808" max="1808" width="5" style="300" customWidth="1"/>
    <col min="1809" max="1809" width="6.140625" style="300" customWidth="1"/>
    <col min="1810" max="1810" width="5.42578125" style="300" customWidth="1"/>
    <col min="1811" max="1811" width="4.85546875" style="300" customWidth="1"/>
    <col min="1812" max="1812" width="6" style="300" customWidth="1"/>
    <col min="1813" max="1813" width="4.85546875" style="300" bestFit="1" customWidth="1"/>
    <col min="1814" max="1814" width="5" style="300" customWidth="1"/>
    <col min="1815" max="1815" width="6.7109375" style="300" customWidth="1"/>
    <col min="1816" max="1816" width="4.7109375" style="300" customWidth="1"/>
    <col min="1817" max="1817" width="5.140625" style="300" customWidth="1"/>
    <col min="1818" max="1818" width="5.5703125" style="300" customWidth="1"/>
    <col min="1819" max="1819" width="5.140625" style="300" customWidth="1"/>
    <col min="1820" max="1820" width="4.85546875" style="300" customWidth="1"/>
    <col min="1821" max="1821" width="7.28515625" style="300" customWidth="1"/>
    <col min="1822" max="1822" width="6.5703125" style="300" customWidth="1"/>
    <col min="1823" max="1823" width="7.42578125" style="300" customWidth="1"/>
    <col min="1824" max="1824" width="5.140625" style="300" customWidth="1"/>
    <col min="1825" max="2049" width="9.140625" style="300"/>
    <col min="2050" max="2050" width="18.5703125" style="300" customWidth="1"/>
    <col min="2051" max="2051" width="4.7109375" style="300" customWidth="1"/>
    <col min="2052" max="2052" width="5" style="300" customWidth="1"/>
    <col min="2053" max="2053" width="6.42578125" style="300" customWidth="1"/>
    <col min="2054" max="2054" width="4.5703125" style="300" customWidth="1"/>
    <col min="2055" max="2055" width="6.42578125" style="300" customWidth="1"/>
    <col min="2056" max="2056" width="5.28515625" style="300" customWidth="1"/>
    <col min="2057" max="2057" width="5.42578125" style="300" customWidth="1"/>
    <col min="2058" max="2058" width="5" style="300" customWidth="1"/>
    <col min="2059" max="2059" width="5.28515625" style="300" customWidth="1"/>
    <col min="2060" max="2060" width="4.28515625" style="300" customWidth="1"/>
    <col min="2061" max="2061" width="5.7109375" style="300" customWidth="1"/>
    <col min="2062" max="2062" width="5.140625" style="300" customWidth="1"/>
    <col min="2063" max="2063" width="5.7109375" style="300" customWidth="1"/>
    <col min="2064" max="2064" width="5" style="300" customWidth="1"/>
    <col min="2065" max="2065" width="6.140625" style="300" customWidth="1"/>
    <col min="2066" max="2066" width="5.42578125" style="300" customWidth="1"/>
    <col min="2067" max="2067" width="4.85546875" style="300" customWidth="1"/>
    <col min="2068" max="2068" width="6" style="300" customWidth="1"/>
    <col min="2069" max="2069" width="4.85546875" style="300" bestFit="1" customWidth="1"/>
    <col min="2070" max="2070" width="5" style="300" customWidth="1"/>
    <col min="2071" max="2071" width="6.7109375" style="300" customWidth="1"/>
    <col min="2072" max="2072" width="4.7109375" style="300" customWidth="1"/>
    <col min="2073" max="2073" width="5.140625" style="300" customWidth="1"/>
    <col min="2074" max="2074" width="5.5703125" style="300" customWidth="1"/>
    <col min="2075" max="2075" width="5.140625" style="300" customWidth="1"/>
    <col min="2076" max="2076" width="4.85546875" style="300" customWidth="1"/>
    <col min="2077" max="2077" width="7.28515625" style="300" customWidth="1"/>
    <col min="2078" max="2078" width="6.5703125" style="300" customWidth="1"/>
    <col min="2079" max="2079" width="7.42578125" style="300" customWidth="1"/>
    <col min="2080" max="2080" width="5.140625" style="300" customWidth="1"/>
    <col min="2081" max="2305" width="9.140625" style="300"/>
    <col min="2306" max="2306" width="18.5703125" style="300" customWidth="1"/>
    <col min="2307" max="2307" width="4.7109375" style="300" customWidth="1"/>
    <col min="2308" max="2308" width="5" style="300" customWidth="1"/>
    <col min="2309" max="2309" width="6.42578125" style="300" customWidth="1"/>
    <col min="2310" max="2310" width="4.5703125" style="300" customWidth="1"/>
    <col min="2311" max="2311" width="6.42578125" style="300" customWidth="1"/>
    <col min="2312" max="2312" width="5.28515625" style="300" customWidth="1"/>
    <col min="2313" max="2313" width="5.42578125" style="300" customWidth="1"/>
    <col min="2314" max="2314" width="5" style="300" customWidth="1"/>
    <col min="2315" max="2315" width="5.28515625" style="300" customWidth="1"/>
    <col min="2316" max="2316" width="4.28515625" style="300" customWidth="1"/>
    <col min="2317" max="2317" width="5.7109375" style="300" customWidth="1"/>
    <col min="2318" max="2318" width="5.140625" style="300" customWidth="1"/>
    <col min="2319" max="2319" width="5.7109375" style="300" customWidth="1"/>
    <col min="2320" max="2320" width="5" style="300" customWidth="1"/>
    <col min="2321" max="2321" width="6.140625" style="300" customWidth="1"/>
    <col min="2322" max="2322" width="5.42578125" style="300" customWidth="1"/>
    <col min="2323" max="2323" width="4.85546875" style="300" customWidth="1"/>
    <col min="2324" max="2324" width="6" style="300" customWidth="1"/>
    <col min="2325" max="2325" width="4.85546875" style="300" bestFit="1" customWidth="1"/>
    <col min="2326" max="2326" width="5" style="300" customWidth="1"/>
    <col min="2327" max="2327" width="6.7109375" style="300" customWidth="1"/>
    <col min="2328" max="2328" width="4.7109375" style="300" customWidth="1"/>
    <col min="2329" max="2329" width="5.140625" style="300" customWidth="1"/>
    <col min="2330" max="2330" width="5.5703125" style="300" customWidth="1"/>
    <col min="2331" max="2331" width="5.140625" style="300" customWidth="1"/>
    <col min="2332" max="2332" width="4.85546875" style="300" customWidth="1"/>
    <col min="2333" max="2333" width="7.28515625" style="300" customWidth="1"/>
    <col min="2334" max="2334" width="6.5703125" style="300" customWidth="1"/>
    <col min="2335" max="2335" width="7.42578125" style="300" customWidth="1"/>
    <col min="2336" max="2336" width="5.140625" style="300" customWidth="1"/>
    <col min="2337" max="2561" width="9.140625" style="300"/>
    <col min="2562" max="2562" width="18.5703125" style="300" customWidth="1"/>
    <col min="2563" max="2563" width="4.7109375" style="300" customWidth="1"/>
    <col min="2564" max="2564" width="5" style="300" customWidth="1"/>
    <col min="2565" max="2565" width="6.42578125" style="300" customWidth="1"/>
    <col min="2566" max="2566" width="4.5703125" style="300" customWidth="1"/>
    <col min="2567" max="2567" width="6.42578125" style="300" customWidth="1"/>
    <col min="2568" max="2568" width="5.28515625" style="300" customWidth="1"/>
    <col min="2569" max="2569" width="5.42578125" style="300" customWidth="1"/>
    <col min="2570" max="2570" width="5" style="300" customWidth="1"/>
    <col min="2571" max="2571" width="5.28515625" style="300" customWidth="1"/>
    <col min="2572" max="2572" width="4.28515625" style="300" customWidth="1"/>
    <col min="2573" max="2573" width="5.7109375" style="300" customWidth="1"/>
    <col min="2574" max="2574" width="5.140625" style="300" customWidth="1"/>
    <col min="2575" max="2575" width="5.7109375" style="300" customWidth="1"/>
    <col min="2576" max="2576" width="5" style="300" customWidth="1"/>
    <col min="2577" max="2577" width="6.140625" style="300" customWidth="1"/>
    <col min="2578" max="2578" width="5.42578125" style="300" customWidth="1"/>
    <col min="2579" max="2579" width="4.85546875" style="300" customWidth="1"/>
    <col min="2580" max="2580" width="6" style="300" customWidth="1"/>
    <col min="2581" max="2581" width="4.85546875" style="300" bestFit="1" customWidth="1"/>
    <col min="2582" max="2582" width="5" style="300" customWidth="1"/>
    <col min="2583" max="2583" width="6.7109375" style="300" customWidth="1"/>
    <col min="2584" max="2584" width="4.7109375" style="300" customWidth="1"/>
    <col min="2585" max="2585" width="5.140625" style="300" customWidth="1"/>
    <col min="2586" max="2586" width="5.5703125" style="300" customWidth="1"/>
    <col min="2587" max="2587" width="5.140625" style="300" customWidth="1"/>
    <col min="2588" max="2588" width="4.85546875" style="300" customWidth="1"/>
    <col min="2589" max="2589" width="7.28515625" style="300" customWidth="1"/>
    <col min="2590" max="2590" width="6.5703125" style="300" customWidth="1"/>
    <col min="2591" max="2591" width="7.42578125" style="300" customWidth="1"/>
    <col min="2592" max="2592" width="5.140625" style="300" customWidth="1"/>
    <col min="2593" max="2817" width="9.140625" style="300"/>
    <col min="2818" max="2818" width="18.5703125" style="300" customWidth="1"/>
    <col min="2819" max="2819" width="4.7109375" style="300" customWidth="1"/>
    <col min="2820" max="2820" width="5" style="300" customWidth="1"/>
    <col min="2821" max="2821" width="6.42578125" style="300" customWidth="1"/>
    <col min="2822" max="2822" width="4.5703125" style="300" customWidth="1"/>
    <col min="2823" max="2823" width="6.42578125" style="300" customWidth="1"/>
    <col min="2824" max="2824" width="5.28515625" style="300" customWidth="1"/>
    <col min="2825" max="2825" width="5.42578125" style="300" customWidth="1"/>
    <col min="2826" max="2826" width="5" style="300" customWidth="1"/>
    <col min="2827" max="2827" width="5.28515625" style="300" customWidth="1"/>
    <col min="2828" max="2828" width="4.28515625" style="300" customWidth="1"/>
    <col min="2829" max="2829" width="5.7109375" style="300" customWidth="1"/>
    <col min="2830" max="2830" width="5.140625" style="300" customWidth="1"/>
    <col min="2831" max="2831" width="5.7109375" style="300" customWidth="1"/>
    <col min="2832" max="2832" width="5" style="300" customWidth="1"/>
    <col min="2833" max="2833" width="6.140625" style="300" customWidth="1"/>
    <col min="2834" max="2834" width="5.42578125" style="300" customWidth="1"/>
    <col min="2835" max="2835" width="4.85546875" style="300" customWidth="1"/>
    <col min="2836" max="2836" width="6" style="300" customWidth="1"/>
    <col min="2837" max="2837" width="4.85546875" style="300" bestFit="1" customWidth="1"/>
    <col min="2838" max="2838" width="5" style="300" customWidth="1"/>
    <col min="2839" max="2839" width="6.7109375" style="300" customWidth="1"/>
    <col min="2840" max="2840" width="4.7109375" style="300" customWidth="1"/>
    <col min="2841" max="2841" width="5.140625" style="300" customWidth="1"/>
    <col min="2842" max="2842" width="5.5703125" style="300" customWidth="1"/>
    <col min="2843" max="2843" width="5.140625" style="300" customWidth="1"/>
    <col min="2844" max="2844" width="4.85546875" style="300" customWidth="1"/>
    <col min="2845" max="2845" width="7.28515625" style="300" customWidth="1"/>
    <col min="2846" max="2846" width="6.5703125" style="300" customWidth="1"/>
    <col min="2847" max="2847" width="7.42578125" style="300" customWidth="1"/>
    <col min="2848" max="2848" width="5.140625" style="300" customWidth="1"/>
    <col min="2849" max="3073" width="9.140625" style="300"/>
    <col min="3074" max="3074" width="18.5703125" style="300" customWidth="1"/>
    <col min="3075" max="3075" width="4.7109375" style="300" customWidth="1"/>
    <col min="3076" max="3076" width="5" style="300" customWidth="1"/>
    <col min="3077" max="3077" width="6.42578125" style="300" customWidth="1"/>
    <col min="3078" max="3078" width="4.5703125" style="300" customWidth="1"/>
    <col min="3079" max="3079" width="6.42578125" style="300" customWidth="1"/>
    <col min="3080" max="3080" width="5.28515625" style="300" customWidth="1"/>
    <col min="3081" max="3081" width="5.42578125" style="300" customWidth="1"/>
    <col min="3082" max="3082" width="5" style="300" customWidth="1"/>
    <col min="3083" max="3083" width="5.28515625" style="300" customWidth="1"/>
    <col min="3084" max="3084" width="4.28515625" style="300" customWidth="1"/>
    <col min="3085" max="3085" width="5.7109375" style="300" customWidth="1"/>
    <col min="3086" max="3086" width="5.140625" style="300" customWidth="1"/>
    <col min="3087" max="3087" width="5.7109375" style="300" customWidth="1"/>
    <col min="3088" max="3088" width="5" style="300" customWidth="1"/>
    <col min="3089" max="3089" width="6.140625" style="300" customWidth="1"/>
    <col min="3090" max="3090" width="5.42578125" style="300" customWidth="1"/>
    <col min="3091" max="3091" width="4.85546875" style="300" customWidth="1"/>
    <col min="3092" max="3092" width="6" style="300" customWidth="1"/>
    <col min="3093" max="3093" width="4.85546875" style="300" bestFit="1" customWidth="1"/>
    <col min="3094" max="3094" width="5" style="300" customWidth="1"/>
    <col min="3095" max="3095" width="6.7109375" style="300" customWidth="1"/>
    <col min="3096" max="3096" width="4.7109375" style="300" customWidth="1"/>
    <col min="3097" max="3097" width="5.140625" style="300" customWidth="1"/>
    <col min="3098" max="3098" width="5.5703125" style="300" customWidth="1"/>
    <col min="3099" max="3099" width="5.140625" style="300" customWidth="1"/>
    <col min="3100" max="3100" width="4.85546875" style="300" customWidth="1"/>
    <col min="3101" max="3101" width="7.28515625" style="300" customWidth="1"/>
    <col min="3102" max="3102" width="6.5703125" style="300" customWidth="1"/>
    <col min="3103" max="3103" width="7.42578125" style="300" customWidth="1"/>
    <col min="3104" max="3104" width="5.140625" style="300" customWidth="1"/>
    <col min="3105" max="3329" width="9.140625" style="300"/>
    <col min="3330" max="3330" width="18.5703125" style="300" customWidth="1"/>
    <col min="3331" max="3331" width="4.7109375" style="300" customWidth="1"/>
    <col min="3332" max="3332" width="5" style="300" customWidth="1"/>
    <col min="3333" max="3333" width="6.42578125" style="300" customWidth="1"/>
    <col min="3334" max="3334" width="4.5703125" style="300" customWidth="1"/>
    <col min="3335" max="3335" width="6.42578125" style="300" customWidth="1"/>
    <col min="3336" max="3336" width="5.28515625" style="300" customWidth="1"/>
    <col min="3337" max="3337" width="5.42578125" style="300" customWidth="1"/>
    <col min="3338" max="3338" width="5" style="300" customWidth="1"/>
    <col min="3339" max="3339" width="5.28515625" style="300" customWidth="1"/>
    <col min="3340" max="3340" width="4.28515625" style="300" customWidth="1"/>
    <col min="3341" max="3341" width="5.7109375" style="300" customWidth="1"/>
    <col min="3342" max="3342" width="5.140625" style="300" customWidth="1"/>
    <col min="3343" max="3343" width="5.7109375" style="300" customWidth="1"/>
    <col min="3344" max="3344" width="5" style="300" customWidth="1"/>
    <col min="3345" max="3345" width="6.140625" style="300" customWidth="1"/>
    <col min="3346" max="3346" width="5.42578125" style="300" customWidth="1"/>
    <col min="3347" max="3347" width="4.85546875" style="300" customWidth="1"/>
    <col min="3348" max="3348" width="6" style="300" customWidth="1"/>
    <col min="3349" max="3349" width="4.85546875" style="300" bestFit="1" customWidth="1"/>
    <col min="3350" max="3350" width="5" style="300" customWidth="1"/>
    <col min="3351" max="3351" width="6.7109375" style="300" customWidth="1"/>
    <col min="3352" max="3352" width="4.7109375" style="300" customWidth="1"/>
    <col min="3353" max="3353" width="5.140625" style="300" customWidth="1"/>
    <col min="3354" max="3354" width="5.5703125" style="300" customWidth="1"/>
    <col min="3355" max="3355" width="5.140625" style="300" customWidth="1"/>
    <col min="3356" max="3356" width="4.85546875" style="300" customWidth="1"/>
    <col min="3357" max="3357" width="7.28515625" style="300" customWidth="1"/>
    <col min="3358" max="3358" width="6.5703125" style="300" customWidth="1"/>
    <col min="3359" max="3359" width="7.42578125" style="300" customWidth="1"/>
    <col min="3360" max="3360" width="5.140625" style="300" customWidth="1"/>
    <col min="3361" max="3585" width="9.140625" style="300"/>
    <col min="3586" max="3586" width="18.5703125" style="300" customWidth="1"/>
    <col min="3587" max="3587" width="4.7109375" style="300" customWidth="1"/>
    <col min="3588" max="3588" width="5" style="300" customWidth="1"/>
    <col min="3589" max="3589" width="6.42578125" style="300" customWidth="1"/>
    <col min="3590" max="3590" width="4.5703125" style="300" customWidth="1"/>
    <col min="3591" max="3591" width="6.42578125" style="300" customWidth="1"/>
    <col min="3592" max="3592" width="5.28515625" style="300" customWidth="1"/>
    <col min="3593" max="3593" width="5.42578125" style="300" customWidth="1"/>
    <col min="3594" max="3594" width="5" style="300" customWidth="1"/>
    <col min="3595" max="3595" width="5.28515625" style="300" customWidth="1"/>
    <col min="3596" max="3596" width="4.28515625" style="300" customWidth="1"/>
    <col min="3597" max="3597" width="5.7109375" style="300" customWidth="1"/>
    <col min="3598" max="3598" width="5.140625" style="300" customWidth="1"/>
    <col min="3599" max="3599" width="5.7109375" style="300" customWidth="1"/>
    <col min="3600" max="3600" width="5" style="300" customWidth="1"/>
    <col min="3601" max="3601" width="6.140625" style="300" customWidth="1"/>
    <col min="3602" max="3602" width="5.42578125" style="300" customWidth="1"/>
    <col min="3603" max="3603" width="4.85546875" style="300" customWidth="1"/>
    <col min="3604" max="3604" width="6" style="300" customWidth="1"/>
    <col min="3605" max="3605" width="4.85546875" style="300" bestFit="1" customWidth="1"/>
    <col min="3606" max="3606" width="5" style="300" customWidth="1"/>
    <col min="3607" max="3607" width="6.7109375" style="300" customWidth="1"/>
    <col min="3608" max="3608" width="4.7109375" style="300" customWidth="1"/>
    <col min="3609" max="3609" width="5.140625" style="300" customWidth="1"/>
    <col min="3610" max="3610" width="5.5703125" style="300" customWidth="1"/>
    <col min="3611" max="3611" width="5.140625" style="300" customWidth="1"/>
    <col min="3612" max="3612" width="4.85546875" style="300" customWidth="1"/>
    <col min="3613" max="3613" width="7.28515625" style="300" customWidth="1"/>
    <col min="3614" max="3614" width="6.5703125" style="300" customWidth="1"/>
    <col min="3615" max="3615" width="7.42578125" style="300" customWidth="1"/>
    <col min="3616" max="3616" width="5.140625" style="300" customWidth="1"/>
    <col min="3617" max="3841" width="9.140625" style="300"/>
    <col min="3842" max="3842" width="18.5703125" style="300" customWidth="1"/>
    <col min="3843" max="3843" width="4.7109375" style="300" customWidth="1"/>
    <col min="3844" max="3844" width="5" style="300" customWidth="1"/>
    <col min="3845" max="3845" width="6.42578125" style="300" customWidth="1"/>
    <col min="3846" max="3846" width="4.5703125" style="300" customWidth="1"/>
    <col min="3847" max="3847" width="6.42578125" style="300" customWidth="1"/>
    <col min="3848" max="3848" width="5.28515625" style="300" customWidth="1"/>
    <col min="3849" max="3849" width="5.42578125" style="300" customWidth="1"/>
    <col min="3850" max="3850" width="5" style="300" customWidth="1"/>
    <col min="3851" max="3851" width="5.28515625" style="300" customWidth="1"/>
    <col min="3852" max="3852" width="4.28515625" style="300" customWidth="1"/>
    <col min="3853" max="3853" width="5.7109375" style="300" customWidth="1"/>
    <col min="3854" max="3854" width="5.140625" style="300" customWidth="1"/>
    <col min="3855" max="3855" width="5.7109375" style="300" customWidth="1"/>
    <col min="3856" max="3856" width="5" style="300" customWidth="1"/>
    <col min="3857" max="3857" width="6.140625" style="300" customWidth="1"/>
    <col min="3858" max="3858" width="5.42578125" style="300" customWidth="1"/>
    <col min="3859" max="3859" width="4.85546875" style="300" customWidth="1"/>
    <col min="3860" max="3860" width="6" style="300" customWidth="1"/>
    <col min="3861" max="3861" width="4.85546875" style="300" bestFit="1" customWidth="1"/>
    <col min="3862" max="3862" width="5" style="300" customWidth="1"/>
    <col min="3863" max="3863" width="6.7109375" style="300" customWidth="1"/>
    <col min="3864" max="3864" width="4.7109375" style="300" customWidth="1"/>
    <col min="3865" max="3865" width="5.140625" style="300" customWidth="1"/>
    <col min="3866" max="3866" width="5.5703125" style="300" customWidth="1"/>
    <col min="3867" max="3867" width="5.140625" style="300" customWidth="1"/>
    <col min="3868" max="3868" width="4.85546875" style="300" customWidth="1"/>
    <col min="3869" max="3869" width="7.28515625" style="300" customWidth="1"/>
    <col min="3870" max="3870" width="6.5703125" style="300" customWidth="1"/>
    <col min="3871" max="3871" width="7.42578125" style="300" customWidth="1"/>
    <col min="3872" max="3872" width="5.140625" style="300" customWidth="1"/>
    <col min="3873" max="4097" width="9.140625" style="300"/>
    <col min="4098" max="4098" width="18.5703125" style="300" customWidth="1"/>
    <col min="4099" max="4099" width="4.7109375" style="300" customWidth="1"/>
    <col min="4100" max="4100" width="5" style="300" customWidth="1"/>
    <col min="4101" max="4101" width="6.42578125" style="300" customWidth="1"/>
    <col min="4102" max="4102" width="4.5703125" style="300" customWidth="1"/>
    <col min="4103" max="4103" width="6.42578125" style="300" customWidth="1"/>
    <col min="4104" max="4104" width="5.28515625" style="300" customWidth="1"/>
    <col min="4105" max="4105" width="5.42578125" style="300" customWidth="1"/>
    <col min="4106" max="4106" width="5" style="300" customWidth="1"/>
    <col min="4107" max="4107" width="5.28515625" style="300" customWidth="1"/>
    <col min="4108" max="4108" width="4.28515625" style="300" customWidth="1"/>
    <col min="4109" max="4109" width="5.7109375" style="300" customWidth="1"/>
    <col min="4110" max="4110" width="5.140625" style="300" customWidth="1"/>
    <col min="4111" max="4111" width="5.7109375" style="300" customWidth="1"/>
    <col min="4112" max="4112" width="5" style="300" customWidth="1"/>
    <col min="4113" max="4113" width="6.140625" style="300" customWidth="1"/>
    <col min="4114" max="4114" width="5.42578125" style="300" customWidth="1"/>
    <col min="4115" max="4115" width="4.85546875" style="300" customWidth="1"/>
    <col min="4116" max="4116" width="6" style="300" customWidth="1"/>
    <col min="4117" max="4117" width="4.85546875" style="300" bestFit="1" customWidth="1"/>
    <col min="4118" max="4118" width="5" style="300" customWidth="1"/>
    <col min="4119" max="4119" width="6.7109375" style="300" customWidth="1"/>
    <col min="4120" max="4120" width="4.7109375" style="300" customWidth="1"/>
    <col min="4121" max="4121" width="5.140625" style="300" customWidth="1"/>
    <col min="4122" max="4122" width="5.5703125" style="300" customWidth="1"/>
    <col min="4123" max="4123" width="5.140625" style="300" customWidth="1"/>
    <col min="4124" max="4124" width="4.85546875" style="300" customWidth="1"/>
    <col min="4125" max="4125" width="7.28515625" style="300" customWidth="1"/>
    <col min="4126" max="4126" width="6.5703125" style="300" customWidth="1"/>
    <col min="4127" max="4127" width="7.42578125" style="300" customWidth="1"/>
    <col min="4128" max="4128" width="5.140625" style="300" customWidth="1"/>
    <col min="4129" max="4353" width="9.140625" style="300"/>
    <col min="4354" max="4354" width="18.5703125" style="300" customWidth="1"/>
    <col min="4355" max="4355" width="4.7109375" style="300" customWidth="1"/>
    <col min="4356" max="4356" width="5" style="300" customWidth="1"/>
    <col min="4357" max="4357" width="6.42578125" style="300" customWidth="1"/>
    <col min="4358" max="4358" width="4.5703125" style="300" customWidth="1"/>
    <col min="4359" max="4359" width="6.42578125" style="300" customWidth="1"/>
    <col min="4360" max="4360" width="5.28515625" style="300" customWidth="1"/>
    <col min="4361" max="4361" width="5.42578125" style="300" customWidth="1"/>
    <col min="4362" max="4362" width="5" style="300" customWidth="1"/>
    <col min="4363" max="4363" width="5.28515625" style="300" customWidth="1"/>
    <col min="4364" max="4364" width="4.28515625" style="300" customWidth="1"/>
    <col min="4365" max="4365" width="5.7109375" style="300" customWidth="1"/>
    <col min="4366" max="4366" width="5.140625" style="300" customWidth="1"/>
    <col min="4367" max="4367" width="5.7109375" style="300" customWidth="1"/>
    <col min="4368" max="4368" width="5" style="300" customWidth="1"/>
    <col min="4369" max="4369" width="6.140625" style="300" customWidth="1"/>
    <col min="4370" max="4370" width="5.42578125" style="300" customWidth="1"/>
    <col min="4371" max="4371" width="4.85546875" style="300" customWidth="1"/>
    <col min="4372" max="4372" width="6" style="300" customWidth="1"/>
    <col min="4373" max="4373" width="4.85546875" style="300" bestFit="1" customWidth="1"/>
    <col min="4374" max="4374" width="5" style="300" customWidth="1"/>
    <col min="4375" max="4375" width="6.7109375" style="300" customWidth="1"/>
    <col min="4376" max="4376" width="4.7109375" style="300" customWidth="1"/>
    <col min="4377" max="4377" width="5.140625" style="300" customWidth="1"/>
    <col min="4378" max="4378" width="5.5703125" style="300" customWidth="1"/>
    <col min="4379" max="4379" width="5.140625" style="300" customWidth="1"/>
    <col min="4380" max="4380" width="4.85546875" style="300" customWidth="1"/>
    <col min="4381" max="4381" width="7.28515625" style="300" customWidth="1"/>
    <col min="4382" max="4382" width="6.5703125" style="300" customWidth="1"/>
    <col min="4383" max="4383" width="7.42578125" style="300" customWidth="1"/>
    <col min="4384" max="4384" width="5.140625" style="300" customWidth="1"/>
    <col min="4385" max="4609" width="9.140625" style="300"/>
    <col min="4610" max="4610" width="18.5703125" style="300" customWidth="1"/>
    <col min="4611" max="4611" width="4.7109375" style="300" customWidth="1"/>
    <col min="4612" max="4612" width="5" style="300" customWidth="1"/>
    <col min="4613" max="4613" width="6.42578125" style="300" customWidth="1"/>
    <col min="4614" max="4614" width="4.5703125" style="300" customWidth="1"/>
    <col min="4615" max="4615" width="6.42578125" style="300" customWidth="1"/>
    <col min="4616" max="4616" width="5.28515625" style="300" customWidth="1"/>
    <col min="4617" max="4617" width="5.42578125" style="300" customWidth="1"/>
    <col min="4618" max="4618" width="5" style="300" customWidth="1"/>
    <col min="4619" max="4619" width="5.28515625" style="300" customWidth="1"/>
    <col min="4620" max="4620" width="4.28515625" style="300" customWidth="1"/>
    <col min="4621" max="4621" width="5.7109375" style="300" customWidth="1"/>
    <col min="4622" max="4622" width="5.140625" style="300" customWidth="1"/>
    <col min="4623" max="4623" width="5.7109375" style="300" customWidth="1"/>
    <col min="4624" max="4624" width="5" style="300" customWidth="1"/>
    <col min="4625" max="4625" width="6.140625" style="300" customWidth="1"/>
    <col min="4626" max="4626" width="5.42578125" style="300" customWidth="1"/>
    <col min="4627" max="4627" width="4.85546875" style="300" customWidth="1"/>
    <col min="4628" max="4628" width="6" style="300" customWidth="1"/>
    <col min="4629" max="4629" width="4.85546875" style="300" bestFit="1" customWidth="1"/>
    <col min="4630" max="4630" width="5" style="300" customWidth="1"/>
    <col min="4631" max="4631" width="6.7109375" style="300" customWidth="1"/>
    <col min="4632" max="4632" width="4.7109375" style="300" customWidth="1"/>
    <col min="4633" max="4633" width="5.140625" style="300" customWidth="1"/>
    <col min="4634" max="4634" width="5.5703125" style="300" customWidth="1"/>
    <col min="4635" max="4635" width="5.140625" style="300" customWidth="1"/>
    <col min="4636" max="4636" width="4.85546875" style="300" customWidth="1"/>
    <col min="4637" max="4637" width="7.28515625" style="300" customWidth="1"/>
    <col min="4638" max="4638" width="6.5703125" style="300" customWidth="1"/>
    <col min="4639" max="4639" width="7.42578125" style="300" customWidth="1"/>
    <col min="4640" max="4640" width="5.140625" style="300" customWidth="1"/>
    <col min="4641" max="4865" width="9.140625" style="300"/>
    <col min="4866" max="4866" width="18.5703125" style="300" customWidth="1"/>
    <col min="4867" max="4867" width="4.7109375" style="300" customWidth="1"/>
    <col min="4868" max="4868" width="5" style="300" customWidth="1"/>
    <col min="4869" max="4869" width="6.42578125" style="300" customWidth="1"/>
    <col min="4870" max="4870" width="4.5703125" style="300" customWidth="1"/>
    <col min="4871" max="4871" width="6.42578125" style="300" customWidth="1"/>
    <col min="4872" max="4872" width="5.28515625" style="300" customWidth="1"/>
    <col min="4873" max="4873" width="5.42578125" style="300" customWidth="1"/>
    <col min="4874" max="4874" width="5" style="300" customWidth="1"/>
    <col min="4875" max="4875" width="5.28515625" style="300" customWidth="1"/>
    <col min="4876" max="4876" width="4.28515625" style="300" customWidth="1"/>
    <col min="4877" max="4877" width="5.7109375" style="300" customWidth="1"/>
    <col min="4878" max="4878" width="5.140625" style="300" customWidth="1"/>
    <col min="4879" max="4879" width="5.7109375" style="300" customWidth="1"/>
    <col min="4880" max="4880" width="5" style="300" customWidth="1"/>
    <col min="4881" max="4881" width="6.140625" style="300" customWidth="1"/>
    <col min="4882" max="4882" width="5.42578125" style="300" customWidth="1"/>
    <col min="4883" max="4883" width="4.85546875" style="300" customWidth="1"/>
    <col min="4884" max="4884" width="6" style="300" customWidth="1"/>
    <col min="4885" max="4885" width="4.85546875" style="300" bestFit="1" customWidth="1"/>
    <col min="4886" max="4886" width="5" style="300" customWidth="1"/>
    <col min="4887" max="4887" width="6.7109375" style="300" customWidth="1"/>
    <col min="4888" max="4888" width="4.7109375" style="300" customWidth="1"/>
    <col min="4889" max="4889" width="5.140625" style="300" customWidth="1"/>
    <col min="4890" max="4890" width="5.5703125" style="300" customWidth="1"/>
    <col min="4891" max="4891" width="5.140625" style="300" customWidth="1"/>
    <col min="4892" max="4892" width="4.85546875" style="300" customWidth="1"/>
    <col min="4893" max="4893" width="7.28515625" style="300" customWidth="1"/>
    <col min="4894" max="4894" width="6.5703125" style="300" customWidth="1"/>
    <col min="4895" max="4895" width="7.42578125" style="300" customWidth="1"/>
    <col min="4896" max="4896" width="5.140625" style="300" customWidth="1"/>
    <col min="4897" max="5121" width="9.140625" style="300"/>
    <col min="5122" max="5122" width="18.5703125" style="300" customWidth="1"/>
    <col min="5123" max="5123" width="4.7109375" style="300" customWidth="1"/>
    <col min="5124" max="5124" width="5" style="300" customWidth="1"/>
    <col min="5125" max="5125" width="6.42578125" style="300" customWidth="1"/>
    <col min="5126" max="5126" width="4.5703125" style="300" customWidth="1"/>
    <col min="5127" max="5127" width="6.42578125" style="300" customWidth="1"/>
    <col min="5128" max="5128" width="5.28515625" style="300" customWidth="1"/>
    <col min="5129" max="5129" width="5.42578125" style="300" customWidth="1"/>
    <col min="5130" max="5130" width="5" style="300" customWidth="1"/>
    <col min="5131" max="5131" width="5.28515625" style="300" customWidth="1"/>
    <col min="5132" max="5132" width="4.28515625" style="300" customWidth="1"/>
    <col min="5133" max="5133" width="5.7109375" style="300" customWidth="1"/>
    <col min="5134" max="5134" width="5.140625" style="300" customWidth="1"/>
    <col min="5135" max="5135" width="5.7109375" style="300" customWidth="1"/>
    <col min="5136" max="5136" width="5" style="300" customWidth="1"/>
    <col min="5137" max="5137" width="6.140625" style="300" customWidth="1"/>
    <col min="5138" max="5138" width="5.42578125" style="300" customWidth="1"/>
    <col min="5139" max="5139" width="4.85546875" style="300" customWidth="1"/>
    <col min="5140" max="5140" width="6" style="300" customWidth="1"/>
    <col min="5141" max="5141" width="4.85546875" style="300" bestFit="1" customWidth="1"/>
    <col min="5142" max="5142" width="5" style="300" customWidth="1"/>
    <col min="5143" max="5143" width="6.7109375" style="300" customWidth="1"/>
    <col min="5144" max="5144" width="4.7109375" style="300" customWidth="1"/>
    <col min="5145" max="5145" width="5.140625" style="300" customWidth="1"/>
    <col min="5146" max="5146" width="5.5703125" style="300" customWidth="1"/>
    <col min="5147" max="5147" width="5.140625" style="300" customWidth="1"/>
    <col min="5148" max="5148" width="4.85546875" style="300" customWidth="1"/>
    <col min="5149" max="5149" width="7.28515625" style="300" customWidth="1"/>
    <col min="5150" max="5150" width="6.5703125" style="300" customWidth="1"/>
    <col min="5151" max="5151" width="7.42578125" style="300" customWidth="1"/>
    <col min="5152" max="5152" width="5.140625" style="300" customWidth="1"/>
    <col min="5153" max="5377" width="9.140625" style="300"/>
    <col min="5378" max="5378" width="18.5703125" style="300" customWidth="1"/>
    <col min="5379" max="5379" width="4.7109375" style="300" customWidth="1"/>
    <col min="5380" max="5380" width="5" style="300" customWidth="1"/>
    <col min="5381" max="5381" width="6.42578125" style="300" customWidth="1"/>
    <col min="5382" max="5382" width="4.5703125" style="300" customWidth="1"/>
    <col min="5383" max="5383" width="6.42578125" style="300" customWidth="1"/>
    <col min="5384" max="5384" width="5.28515625" style="300" customWidth="1"/>
    <col min="5385" max="5385" width="5.42578125" style="300" customWidth="1"/>
    <col min="5386" max="5386" width="5" style="300" customWidth="1"/>
    <col min="5387" max="5387" width="5.28515625" style="300" customWidth="1"/>
    <col min="5388" max="5388" width="4.28515625" style="300" customWidth="1"/>
    <col min="5389" max="5389" width="5.7109375" style="300" customWidth="1"/>
    <col min="5390" max="5390" width="5.140625" style="300" customWidth="1"/>
    <col min="5391" max="5391" width="5.7109375" style="300" customWidth="1"/>
    <col min="5392" max="5392" width="5" style="300" customWidth="1"/>
    <col min="5393" max="5393" width="6.140625" style="300" customWidth="1"/>
    <col min="5394" max="5394" width="5.42578125" style="300" customWidth="1"/>
    <col min="5395" max="5395" width="4.85546875" style="300" customWidth="1"/>
    <col min="5396" max="5396" width="6" style="300" customWidth="1"/>
    <col min="5397" max="5397" width="4.85546875" style="300" bestFit="1" customWidth="1"/>
    <col min="5398" max="5398" width="5" style="300" customWidth="1"/>
    <col min="5399" max="5399" width="6.7109375" style="300" customWidth="1"/>
    <col min="5400" max="5400" width="4.7109375" style="300" customWidth="1"/>
    <col min="5401" max="5401" width="5.140625" style="300" customWidth="1"/>
    <col min="5402" max="5402" width="5.5703125" style="300" customWidth="1"/>
    <col min="5403" max="5403" width="5.140625" style="300" customWidth="1"/>
    <col min="5404" max="5404" width="4.85546875" style="300" customWidth="1"/>
    <col min="5405" max="5405" width="7.28515625" style="300" customWidth="1"/>
    <col min="5406" max="5406" width="6.5703125" style="300" customWidth="1"/>
    <col min="5407" max="5407" width="7.42578125" style="300" customWidth="1"/>
    <col min="5408" max="5408" width="5.140625" style="300" customWidth="1"/>
    <col min="5409" max="5633" width="9.140625" style="300"/>
    <col min="5634" max="5634" width="18.5703125" style="300" customWidth="1"/>
    <col min="5635" max="5635" width="4.7109375" style="300" customWidth="1"/>
    <col min="5636" max="5636" width="5" style="300" customWidth="1"/>
    <col min="5637" max="5637" width="6.42578125" style="300" customWidth="1"/>
    <col min="5638" max="5638" width="4.5703125" style="300" customWidth="1"/>
    <col min="5639" max="5639" width="6.42578125" style="300" customWidth="1"/>
    <col min="5640" max="5640" width="5.28515625" style="300" customWidth="1"/>
    <col min="5641" max="5641" width="5.42578125" style="300" customWidth="1"/>
    <col min="5642" max="5642" width="5" style="300" customWidth="1"/>
    <col min="5643" max="5643" width="5.28515625" style="300" customWidth="1"/>
    <col min="5644" max="5644" width="4.28515625" style="300" customWidth="1"/>
    <col min="5645" max="5645" width="5.7109375" style="300" customWidth="1"/>
    <col min="5646" max="5646" width="5.140625" style="300" customWidth="1"/>
    <col min="5647" max="5647" width="5.7109375" style="300" customWidth="1"/>
    <col min="5648" max="5648" width="5" style="300" customWidth="1"/>
    <col min="5649" max="5649" width="6.140625" style="300" customWidth="1"/>
    <col min="5650" max="5650" width="5.42578125" style="300" customWidth="1"/>
    <col min="5651" max="5651" width="4.85546875" style="300" customWidth="1"/>
    <col min="5652" max="5652" width="6" style="300" customWidth="1"/>
    <col min="5653" max="5653" width="4.85546875" style="300" bestFit="1" customWidth="1"/>
    <col min="5654" max="5654" width="5" style="300" customWidth="1"/>
    <col min="5655" max="5655" width="6.7109375" style="300" customWidth="1"/>
    <col min="5656" max="5656" width="4.7109375" style="300" customWidth="1"/>
    <col min="5657" max="5657" width="5.140625" style="300" customWidth="1"/>
    <col min="5658" max="5658" width="5.5703125" style="300" customWidth="1"/>
    <col min="5659" max="5659" width="5.140625" style="300" customWidth="1"/>
    <col min="5660" max="5660" width="4.85546875" style="300" customWidth="1"/>
    <col min="5661" max="5661" width="7.28515625" style="300" customWidth="1"/>
    <col min="5662" max="5662" width="6.5703125" style="300" customWidth="1"/>
    <col min="5663" max="5663" width="7.42578125" style="300" customWidth="1"/>
    <col min="5664" max="5664" width="5.140625" style="300" customWidth="1"/>
    <col min="5665" max="5889" width="9.140625" style="300"/>
    <col min="5890" max="5890" width="18.5703125" style="300" customWidth="1"/>
    <col min="5891" max="5891" width="4.7109375" style="300" customWidth="1"/>
    <col min="5892" max="5892" width="5" style="300" customWidth="1"/>
    <col min="5893" max="5893" width="6.42578125" style="300" customWidth="1"/>
    <col min="5894" max="5894" width="4.5703125" style="300" customWidth="1"/>
    <col min="5895" max="5895" width="6.42578125" style="300" customWidth="1"/>
    <col min="5896" max="5896" width="5.28515625" style="300" customWidth="1"/>
    <col min="5897" max="5897" width="5.42578125" style="300" customWidth="1"/>
    <col min="5898" max="5898" width="5" style="300" customWidth="1"/>
    <col min="5899" max="5899" width="5.28515625" style="300" customWidth="1"/>
    <col min="5900" max="5900" width="4.28515625" style="300" customWidth="1"/>
    <col min="5901" max="5901" width="5.7109375" style="300" customWidth="1"/>
    <col min="5902" max="5902" width="5.140625" style="300" customWidth="1"/>
    <col min="5903" max="5903" width="5.7109375" style="300" customWidth="1"/>
    <col min="5904" max="5904" width="5" style="300" customWidth="1"/>
    <col min="5905" max="5905" width="6.140625" style="300" customWidth="1"/>
    <col min="5906" max="5906" width="5.42578125" style="300" customWidth="1"/>
    <col min="5907" max="5907" width="4.85546875" style="300" customWidth="1"/>
    <col min="5908" max="5908" width="6" style="300" customWidth="1"/>
    <col min="5909" max="5909" width="4.85546875" style="300" bestFit="1" customWidth="1"/>
    <col min="5910" max="5910" width="5" style="300" customWidth="1"/>
    <col min="5911" max="5911" width="6.7109375" style="300" customWidth="1"/>
    <col min="5912" max="5912" width="4.7109375" style="300" customWidth="1"/>
    <col min="5913" max="5913" width="5.140625" style="300" customWidth="1"/>
    <col min="5914" max="5914" width="5.5703125" style="300" customWidth="1"/>
    <col min="5915" max="5915" width="5.140625" style="300" customWidth="1"/>
    <col min="5916" max="5916" width="4.85546875" style="300" customWidth="1"/>
    <col min="5917" max="5917" width="7.28515625" style="300" customWidth="1"/>
    <col min="5918" max="5918" width="6.5703125" style="300" customWidth="1"/>
    <col min="5919" max="5919" width="7.42578125" style="300" customWidth="1"/>
    <col min="5920" max="5920" width="5.140625" style="300" customWidth="1"/>
    <col min="5921" max="6145" width="9.140625" style="300"/>
    <col min="6146" max="6146" width="18.5703125" style="300" customWidth="1"/>
    <col min="6147" max="6147" width="4.7109375" style="300" customWidth="1"/>
    <col min="6148" max="6148" width="5" style="300" customWidth="1"/>
    <col min="6149" max="6149" width="6.42578125" style="300" customWidth="1"/>
    <col min="6150" max="6150" width="4.5703125" style="300" customWidth="1"/>
    <col min="6151" max="6151" width="6.42578125" style="300" customWidth="1"/>
    <col min="6152" max="6152" width="5.28515625" style="300" customWidth="1"/>
    <col min="6153" max="6153" width="5.42578125" style="300" customWidth="1"/>
    <col min="6154" max="6154" width="5" style="300" customWidth="1"/>
    <col min="6155" max="6155" width="5.28515625" style="300" customWidth="1"/>
    <col min="6156" max="6156" width="4.28515625" style="300" customWidth="1"/>
    <col min="6157" max="6157" width="5.7109375" style="300" customWidth="1"/>
    <col min="6158" max="6158" width="5.140625" style="300" customWidth="1"/>
    <col min="6159" max="6159" width="5.7109375" style="300" customWidth="1"/>
    <col min="6160" max="6160" width="5" style="300" customWidth="1"/>
    <col min="6161" max="6161" width="6.140625" style="300" customWidth="1"/>
    <col min="6162" max="6162" width="5.42578125" style="300" customWidth="1"/>
    <col min="6163" max="6163" width="4.85546875" style="300" customWidth="1"/>
    <col min="6164" max="6164" width="6" style="300" customWidth="1"/>
    <col min="6165" max="6165" width="4.85546875" style="300" bestFit="1" customWidth="1"/>
    <col min="6166" max="6166" width="5" style="300" customWidth="1"/>
    <col min="6167" max="6167" width="6.7109375" style="300" customWidth="1"/>
    <col min="6168" max="6168" width="4.7109375" style="300" customWidth="1"/>
    <col min="6169" max="6169" width="5.140625" style="300" customWidth="1"/>
    <col min="6170" max="6170" width="5.5703125" style="300" customWidth="1"/>
    <col min="6171" max="6171" width="5.140625" style="300" customWidth="1"/>
    <col min="6172" max="6172" width="4.85546875" style="300" customWidth="1"/>
    <col min="6173" max="6173" width="7.28515625" style="300" customWidth="1"/>
    <col min="6174" max="6174" width="6.5703125" style="300" customWidth="1"/>
    <col min="6175" max="6175" width="7.42578125" style="300" customWidth="1"/>
    <col min="6176" max="6176" width="5.140625" style="300" customWidth="1"/>
    <col min="6177" max="6401" width="9.140625" style="300"/>
    <col min="6402" max="6402" width="18.5703125" style="300" customWidth="1"/>
    <col min="6403" max="6403" width="4.7109375" style="300" customWidth="1"/>
    <col min="6404" max="6404" width="5" style="300" customWidth="1"/>
    <col min="6405" max="6405" width="6.42578125" style="300" customWidth="1"/>
    <col min="6406" max="6406" width="4.5703125" style="300" customWidth="1"/>
    <col min="6407" max="6407" width="6.42578125" style="300" customWidth="1"/>
    <col min="6408" max="6408" width="5.28515625" style="300" customWidth="1"/>
    <col min="6409" max="6409" width="5.42578125" style="300" customWidth="1"/>
    <col min="6410" max="6410" width="5" style="300" customWidth="1"/>
    <col min="6411" max="6411" width="5.28515625" style="300" customWidth="1"/>
    <col min="6412" max="6412" width="4.28515625" style="300" customWidth="1"/>
    <col min="6413" max="6413" width="5.7109375" style="300" customWidth="1"/>
    <col min="6414" max="6414" width="5.140625" style="300" customWidth="1"/>
    <col min="6415" max="6415" width="5.7109375" style="300" customWidth="1"/>
    <col min="6416" max="6416" width="5" style="300" customWidth="1"/>
    <col min="6417" max="6417" width="6.140625" style="300" customWidth="1"/>
    <col min="6418" max="6418" width="5.42578125" style="300" customWidth="1"/>
    <col min="6419" max="6419" width="4.85546875" style="300" customWidth="1"/>
    <col min="6420" max="6420" width="6" style="300" customWidth="1"/>
    <col min="6421" max="6421" width="4.85546875" style="300" bestFit="1" customWidth="1"/>
    <col min="6422" max="6422" width="5" style="300" customWidth="1"/>
    <col min="6423" max="6423" width="6.7109375" style="300" customWidth="1"/>
    <col min="6424" max="6424" width="4.7109375" style="300" customWidth="1"/>
    <col min="6425" max="6425" width="5.140625" style="300" customWidth="1"/>
    <col min="6426" max="6426" width="5.5703125" style="300" customWidth="1"/>
    <col min="6427" max="6427" width="5.140625" style="300" customWidth="1"/>
    <col min="6428" max="6428" width="4.85546875" style="300" customWidth="1"/>
    <col min="6429" max="6429" width="7.28515625" style="300" customWidth="1"/>
    <col min="6430" max="6430" width="6.5703125" style="300" customWidth="1"/>
    <col min="6431" max="6431" width="7.42578125" style="300" customWidth="1"/>
    <col min="6432" max="6432" width="5.140625" style="300" customWidth="1"/>
    <col min="6433" max="6657" width="9.140625" style="300"/>
    <col min="6658" max="6658" width="18.5703125" style="300" customWidth="1"/>
    <col min="6659" max="6659" width="4.7109375" style="300" customWidth="1"/>
    <col min="6660" max="6660" width="5" style="300" customWidth="1"/>
    <col min="6661" max="6661" width="6.42578125" style="300" customWidth="1"/>
    <col min="6662" max="6662" width="4.5703125" style="300" customWidth="1"/>
    <col min="6663" max="6663" width="6.42578125" style="300" customWidth="1"/>
    <col min="6664" max="6664" width="5.28515625" style="300" customWidth="1"/>
    <col min="6665" max="6665" width="5.42578125" style="300" customWidth="1"/>
    <col min="6666" max="6666" width="5" style="300" customWidth="1"/>
    <col min="6667" max="6667" width="5.28515625" style="300" customWidth="1"/>
    <col min="6668" max="6668" width="4.28515625" style="300" customWidth="1"/>
    <col min="6669" max="6669" width="5.7109375" style="300" customWidth="1"/>
    <col min="6670" max="6670" width="5.140625" style="300" customWidth="1"/>
    <col min="6671" max="6671" width="5.7109375" style="300" customWidth="1"/>
    <col min="6672" max="6672" width="5" style="300" customWidth="1"/>
    <col min="6673" max="6673" width="6.140625" style="300" customWidth="1"/>
    <col min="6674" max="6674" width="5.42578125" style="300" customWidth="1"/>
    <col min="6675" max="6675" width="4.85546875" style="300" customWidth="1"/>
    <col min="6676" max="6676" width="6" style="300" customWidth="1"/>
    <col min="6677" max="6677" width="4.85546875" style="300" bestFit="1" customWidth="1"/>
    <col min="6678" max="6678" width="5" style="300" customWidth="1"/>
    <col min="6679" max="6679" width="6.7109375" style="300" customWidth="1"/>
    <col min="6680" max="6680" width="4.7109375" style="300" customWidth="1"/>
    <col min="6681" max="6681" width="5.140625" style="300" customWidth="1"/>
    <col min="6682" max="6682" width="5.5703125" style="300" customWidth="1"/>
    <col min="6683" max="6683" width="5.140625" style="300" customWidth="1"/>
    <col min="6684" max="6684" width="4.85546875" style="300" customWidth="1"/>
    <col min="6685" max="6685" width="7.28515625" style="300" customWidth="1"/>
    <col min="6686" max="6686" width="6.5703125" style="300" customWidth="1"/>
    <col min="6687" max="6687" width="7.42578125" style="300" customWidth="1"/>
    <col min="6688" max="6688" width="5.140625" style="300" customWidth="1"/>
    <col min="6689" max="6913" width="9.140625" style="300"/>
    <col min="6914" max="6914" width="18.5703125" style="300" customWidth="1"/>
    <col min="6915" max="6915" width="4.7109375" style="300" customWidth="1"/>
    <col min="6916" max="6916" width="5" style="300" customWidth="1"/>
    <col min="6917" max="6917" width="6.42578125" style="300" customWidth="1"/>
    <col min="6918" max="6918" width="4.5703125" style="300" customWidth="1"/>
    <col min="6919" max="6919" width="6.42578125" style="300" customWidth="1"/>
    <col min="6920" max="6920" width="5.28515625" style="300" customWidth="1"/>
    <col min="6921" max="6921" width="5.42578125" style="300" customWidth="1"/>
    <col min="6922" max="6922" width="5" style="300" customWidth="1"/>
    <col min="6923" max="6923" width="5.28515625" style="300" customWidth="1"/>
    <col min="6924" max="6924" width="4.28515625" style="300" customWidth="1"/>
    <col min="6925" max="6925" width="5.7109375" style="300" customWidth="1"/>
    <col min="6926" max="6926" width="5.140625" style="300" customWidth="1"/>
    <col min="6927" max="6927" width="5.7109375" style="300" customWidth="1"/>
    <col min="6928" max="6928" width="5" style="300" customWidth="1"/>
    <col min="6929" max="6929" width="6.140625" style="300" customWidth="1"/>
    <col min="6930" max="6930" width="5.42578125" style="300" customWidth="1"/>
    <col min="6931" max="6931" width="4.85546875" style="300" customWidth="1"/>
    <col min="6932" max="6932" width="6" style="300" customWidth="1"/>
    <col min="6933" max="6933" width="4.85546875" style="300" bestFit="1" customWidth="1"/>
    <col min="6934" max="6934" width="5" style="300" customWidth="1"/>
    <col min="6935" max="6935" width="6.7109375" style="300" customWidth="1"/>
    <col min="6936" max="6936" width="4.7109375" style="300" customWidth="1"/>
    <col min="6937" max="6937" width="5.140625" style="300" customWidth="1"/>
    <col min="6938" max="6938" width="5.5703125" style="300" customWidth="1"/>
    <col min="6939" max="6939" width="5.140625" style="300" customWidth="1"/>
    <col min="6940" max="6940" width="4.85546875" style="300" customWidth="1"/>
    <col min="6941" max="6941" width="7.28515625" style="300" customWidth="1"/>
    <col min="6942" max="6942" width="6.5703125" style="300" customWidth="1"/>
    <col min="6943" max="6943" width="7.42578125" style="300" customWidth="1"/>
    <col min="6944" max="6944" width="5.140625" style="300" customWidth="1"/>
    <col min="6945" max="7169" width="9.140625" style="300"/>
    <col min="7170" max="7170" width="18.5703125" style="300" customWidth="1"/>
    <col min="7171" max="7171" width="4.7109375" style="300" customWidth="1"/>
    <col min="7172" max="7172" width="5" style="300" customWidth="1"/>
    <col min="7173" max="7173" width="6.42578125" style="300" customWidth="1"/>
    <col min="7174" max="7174" width="4.5703125" style="300" customWidth="1"/>
    <col min="7175" max="7175" width="6.42578125" style="300" customWidth="1"/>
    <col min="7176" max="7176" width="5.28515625" style="300" customWidth="1"/>
    <col min="7177" max="7177" width="5.42578125" style="300" customWidth="1"/>
    <col min="7178" max="7178" width="5" style="300" customWidth="1"/>
    <col min="7179" max="7179" width="5.28515625" style="300" customWidth="1"/>
    <col min="7180" max="7180" width="4.28515625" style="300" customWidth="1"/>
    <col min="7181" max="7181" width="5.7109375" style="300" customWidth="1"/>
    <col min="7182" max="7182" width="5.140625" style="300" customWidth="1"/>
    <col min="7183" max="7183" width="5.7109375" style="300" customWidth="1"/>
    <col min="7184" max="7184" width="5" style="300" customWidth="1"/>
    <col min="7185" max="7185" width="6.140625" style="300" customWidth="1"/>
    <col min="7186" max="7186" width="5.42578125" style="300" customWidth="1"/>
    <col min="7187" max="7187" width="4.85546875" style="300" customWidth="1"/>
    <col min="7188" max="7188" width="6" style="300" customWidth="1"/>
    <col min="7189" max="7189" width="4.85546875" style="300" bestFit="1" customWidth="1"/>
    <col min="7190" max="7190" width="5" style="300" customWidth="1"/>
    <col min="7191" max="7191" width="6.7109375" style="300" customWidth="1"/>
    <col min="7192" max="7192" width="4.7109375" style="300" customWidth="1"/>
    <col min="7193" max="7193" width="5.140625" style="300" customWidth="1"/>
    <col min="7194" max="7194" width="5.5703125" style="300" customWidth="1"/>
    <col min="7195" max="7195" width="5.140625" style="300" customWidth="1"/>
    <col min="7196" max="7196" width="4.85546875" style="300" customWidth="1"/>
    <col min="7197" max="7197" width="7.28515625" style="300" customWidth="1"/>
    <col min="7198" max="7198" width="6.5703125" style="300" customWidth="1"/>
    <col min="7199" max="7199" width="7.42578125" style="300" customWidth="1"/>
    <col min="7200" max="7200" width="5.140625" style="300" customWidth="1"/>
    <col min="7201" max="7425" width="9.140625" style="300"/>
    <col min="7426" max="7426" width="18.5703125" style="300" customWidth="1"/>
    <col min="7427" max="7427" width="4.7109375" style="300" customWidth="1"/>
    <col min="7428" max="7428" width="5" style="300" customWidth="1"/>
    <col min="7429" max="7429" width="6.42578125" style="300" customWidth="1"/>
    <col min="7430" max="7430" width="4.5703125" style="300" customWidth="1"/>
    <col min="7431" max="7431" width="6.42578125" style="300" customWidth="1"/>
    <col min="7432" max="7432" width="5.28515625" style="300" customWidth="1"/>
    <col min="7433" max="7433" width="5.42578125" style="300" customWidth="1"/>
    <col min="7434" max="7434" width="5" style="300" customWidth="1"/>
    <col min="7435" max="7435" width="5.28515625" style="300" customWidth="1"/>
    <col min="7436" max="7436" width="4.28515625" style="300" customWidth="1"/>
    <col min="7437" max="7437" width="5.7109375" style="300" customWidth="1"/>
    <col min="7438" max="7438" width="5.140625" style="300" customWidth="1"/>
    <col min="7439" max="7439" width="5.7109375" style="300" customWidth="1"/>
    <col min="7440" max="7440" width="5" style="300" customWidth="1"/>
    <col min="7441" max="7441" width="6.140625" style="300" customWidth="1"/>
    <col min="7442" max="7442" width="5.42578125" style="300" customWidth="1"/>
    <col min="7443" max="7443" width="4.85546875" style="300" customWidth="1"/>
    <col min="7444" max="7444" width="6" style="300" customWidth="1"/>
    <col min="7445" max="7445" width="4.85546875" style="300" bestFit="1" customWidth="1"/>
    <col min="7446" max="7446" width="5" style="300" customWidth="1"/>
    <col min="7447" max="7447" width="6.7109375" style="300" customWidth="1"/>
    <col min="7448" max="7448" width="4.7109375" style="300" customWidth="1"/>
    <col min="7449" max="7449" width="5.140625" style="300" customWidth="1"/>
    <col min="7450" max="7450" width="5.5703125" style="300" customWidth="1"/>
    <col min="7451" max="7451" width="5.140625" style="300" customWidth="1"/>
    <col min="7452" max="7452" width="4.85546875" style="300" customWidth="1"/>
    <col min="7453" max="7453" width="7.28515625" style="300" customWidth="1"/>
    <col min="7454" max="7454" width="6.5703125" style="300" customWidth="1"/>
    <col min="7455" max="7455" width="7.42578125" style="300" customWidth="1"/>
    <col min="7456" max="7456" width="5.140625" style="300" customWidth="1"/>
    <col min="7457" max="7681" width="9.140625" style="300"/>
    <col min="7682" max="7682" width="18.5703125" style="300" customWidth="1"/>
    <col min="7683" max="7683" width="4.7109375" style="300" customWidth="1"/>
    <col min="7684" max="7684" width="5" style="300" customWidth="1"/>
    <col min="7685" max="7685" width="6.42578125" style="300" customWidth="1"/>
    <col min="7686" max="7686" width="4.5703125" style="300" customWidth="1"/>
    <col min="7687" max="7687" width="6.42578125" style="300" customWidth="1"/>
    <col min="7688" max="7688" width="5.28515625" style="300" customWidth="1"/>
    <col min="7689" max="7689" width="5.42578125" style="300" customWidth="1"/>
    <col min="7690" max="7690" width="5" style="300" customWidth="1"/>
    <col min="7691" max="7691" width="5.28515625" style="300" customWidth="1"/>
    <col min="7692" max="7692" width="4.28515625" style="300" customWidth="1"/>
    <col min="7693" max="7693" width="5.7109375" style="300" customWidth="1"/>
    <col min="7694" max="7694" width="5.140625" style="300" customWidth="1"/>
    <col min="7695" max="7695" width="5.7109375" style="300" customWidth="1"/>
    <col min="7696" max="7696" width="5" style="300" customWidth="1"/>
    <col min="7697" max="7697" width="6.140625" style="300" customWidth="1"/>
    <col min="7698" max="7698" width="5.42578125" style="300" customWidth="1"/>
    <col min="7699" max="7699" width="4.85546875" style="300" customWidth="1"/>
    <col min="7700" max="7700" width="6" style="300" customWidth="1"/>
    <col min="7701" max="7701" width="4.85546875" style="300" bestFit="1" customWidth="1"/>
    <col min="7702" max="7702" width="5" style="300" customWidth="1"/>
    <col min="7703" max="7703" width="6.7109375" style="300" customWidth="1"/>
    <col min="7704" max="7704" width="4.7109375" style="300" customWidth="1"/>
    <col min="7705" max="7705" width="5.140625" style="300" customWidth="1"/>
    <col min="7706" max="7706" width="5.5703125" style="300" customWidth="1"/>
    <col min="7707" max="7707" width="5.140625" style="300" customWidth="1"/>
    <col min="7708" max="7708" width="4.85546875" style="300" customWidth="1"/>
    <col min="7709" max="7709" width="7.28515625" style="300" customWidth="1"/>
    <col min="7710" max="7710" width="6.5703125" style="300" customWidth="1"/>
    <col min="7711" max="7711" width="7.42578125" style="300" customWidth="1"/>
    <col min="7712" max="7712" width="5.140625" style="300" customWidth="1"/>
    <col min="7713" max="7937" width="9.140625" style="300"/>
    <col min="7938" max="7938" width="18.5703125" style="300" customWidth="1"/>
    <col min="7939" max="7939" width="4.7109375" style="300" customWidth="1"/>
    <col min="7940" max="7940" width="5" style="300" customWidth="1"/>
    <col min="7941" max="7941" width="6.42578125" style="300" customWidth="1"/>
    <col min="7942" max="7942" width="4.5703125" style="300" customWidth="1"/>
    <col min="7943" max="7943" width="6.42578125" style="300" customWidth="1"/>
    <col min="7944" max="7944" width="5.28515625" style="300" customWidth="1"/>
    <col min="7945" max="7945" width="5.42578125" style="300" customWidth="1"/>
    <col min="7946" max="7946" width="5" style="300" customWidth="1"/>
    <col min="7947" max="7947" width="5.28515625" style="300" customWidth="1"/>
    <col min="7948" max="7948" width="4.28515625" style="300" customWidth="1"/>
    <col min="7949" max="7949" width="5.7109375" style="300" customWidth="1"/>
    <col min="7950" max="7950" width="5.140625" style="300" customWidth="1"/>
    <col min="7951" max="7951" width="5.7109375" style="300" customWidth="1"/>
    <col min="7952" max="7952" width="5" style="300" customWidth="1"/>
    <col min="7953" max="7953" width="6.140625" style="300" customWidth="1"/>
    <col min="7954" max="7954" width="5.42578125" style="300" customWidth="1"/>
    <col min="7955" max="7955" width="4.85546875" style="300" customWidth="1"/>
    <col min="7956" max="7956" width="6" style="300" customWidth="1"/>
    <col min="7957" max="7957" width="4.85546875" style="300" bestFit="1" customWidth="1"/>
    <col min="7958" max="7958" width="5" style="300" customWidth="1"/>
    <col min="7959" max="7959" width="6.7109375" style="300" customWidth="1"/>
    <col min="7960" max="7960" width="4.7109375" style="300" customWidth="1"/>
    <col min="7961" max="7961" width="5.140625" style="300" customWidth="1"/>
    <col min="7962" max="7962" width="5.5703125" style="300" customWidth="1"/>
    <col min="7963" max="7963" width="5.140625" style="300" customWidth="1"/>
    <col min="7964" max="7964" width="4.85546875" style="300" customWidth="1"/>
    <col min="7965" max="7965" width="7.28515625" style="300" customWidth="1"/>
    <col min="7966" max="7966" width="6.5703125" style="300" customWidth="1"/>
    <col min="7967" max="7967" width="7.42578125" style="300" customWidth="1"/>
    <col min="7968" max="7968" width="5.140625" style="300" customWidth="1"/>
    <col min="7969" max="8193" width="9.140625" style="300"/>
    <col min="8194" max="8194" width="18.5703125" style="300" customWidth="1"/>
    <col min="8195" max="8195" width="4.7109375" style="300" customWidth="1"/>
    <col min="8196" max="8196" width="5" style="300" customWidth="1"/>
    <col min="8197" max="8197" width="6.42578125" style="300" customWidth="1"/>
    <col min="8198" max="8198" width="4.5703125" style="300" customWidth="1"/>
    <col min="8199" max="8199" width="6.42578125" style="300" customWidth="1"/>
    <col min="8200" max="8200" width="5.28515625" style="300" customWidth="1"/>
    <col min="8201" max="8201" width="5.42578125" style="300" customWidth="1"/>
    <col min="8202" max="8202" width="5" style="300" customWidth="1"/>
    <col min="8203" max="8203" width="5.28515625" style="300" customWidth="1"/>
    <col min="8204" max="8204" width="4.28515625" style="300" customWidth="1"/>
    <col min="8205" max="8205" width="5.7109375" style="300" customWidth="1"/>
    <col min="8206" max="8206" width="5.140625" style="300" customWidth="1"/>
    <col min="8207" max="8207" width="5.7109375" style="300" customWidth="1"/>
    <col min="8208" max="8208" width="5" style="300" customWidth="1"/>
    <col min="8209" max="8209" width="6.140625" style="300" customWidth="1"/>
    <col min="8210" max="8210" width="5.42578125" style="300" customWidth="1"/>
    <col min="8211" max="8211" width="4.85546875" style="300" customWidth="1"/>
    <col min="8212" max="8212" width="6" style="300" customWidth="1"/>
    <col min="8213" max="8213" width="4.85546875" style="300" bestFit="1" customWidth="1"/>
    <col min="8214" max="8214" width="5" style="300" customWidth="1"/>
    <col min="8215" max="8215" width="6.7109375" style="300" customWidth="1"/>
    <col min="8216" max="8216" width="4.7109375" style="300" customWidth="1"/>
    <col min="8217" max="8217" width="5.140625" style="300" customWidth="1"/>
    <col min="8218" max="8218" width="5.5703125" style="300" customWidth="1"/>
    <col min="8219" max="8219" width="5.140625" style="300" customWidth="1"/>
    <col min="8220" max="8220" width="4.85546875" style="300" customWidth="1"/>
    <col min="8221" max="8221" width="7.28515625" style="300" customWidth="1"/>
    <col min="8222" max="8222" width="6.5703125" style="300" customWidth="1"/>
    <col min="8223" max="8223" width="7.42578125" style="300" customWidth="1"/>
    <col min="8224" max="8224" width="5.140625" style="300" customWidth="1"/>
    <col min="8225" max="8449" width="9.140625" style="300"/>
    <col min="8450" max="8450" width="18.5703125" style="300" customWidth="1"/>
    <col min="8451" max="8451" width="4.7109375" style="300" customWidth="1"/>
    <col min="8452" max="8452" width="5" style="300" customWidth="1"/>
    <col min="8453" max="8453" width="6.42578125" style="300" customWidth="1"/>
    <col min="8454" max="8454" width="4.5703125" style="300" customWidth="1"/>
    <col min="8455" max="8455" width="6.42578125" style="300" customWidth="1"/>
    <col min="8456" max="8456" width="5.28515625" style="300" customWidth="1"/>
    <col min="8457" max="8457" width="5.42578125" style="300" customWidth="1"/>
    <col min="8458" max="8458" width="5" style="300" customWidth="1"/>
    <col min="8459" max="8459" width="5.28515625" style="300" customWidth="1"/>
    <col min="8460" max="8460" width="4.28515625" style="300" customWidth="1"/>
    <col min="8461" max="8461" width="5.7109375" style="300" customWidth="1"/>
    <col min="8462" max="8462" width="5.140625" style="300" customWidth="1"/>
    <col min="8463" max="8463" width="5.7109375" style="300" customWidth="1"/>
    <col min="8464" max="8464" width="5" style="300" customWidth="1"/>
    <col min="8465" max="8465" width="6.140625" style="300" customWidth="1"/>
    <col min="8466" max="8466" width="5.42578125" style="300" customWidth="1"/>
    <col min="8467" max="8467" width="4.85546875" style="300" customWidth="1"/>
    <col min="8468" max="8468" width="6" style="300" customWidth="1"/>
    <col min="8469" max="8469" width="4.85546875" style="300" bestFit="1" customWidth="1"/>
    <col min="8470" max="8470" width="5" style="300" customWidth="1"/>
    <col min="8471" max="8471" width="6.7109375" style="300" customWidth="1"/>
    <col min="8472" max="8472" width="4.7109375" style="300" customWidth="1"/>
    <col min="8473" max="8473" width="5.140625" style="300" customWidth="1"/>
    <col min="8474" max="8474" width="5.5703125" style="300" customWidth="1"/>
    <col min="8475" max="8475" width="5.140625" style="300" customWidth="1"/>
    <col min="8476" max="8476" width="4.85546875" style="300" customWidth="1"/>
    <col min="8477" max="8477" width="7.28515625" style="300" customWidth="1"/>
    <col min="8478" max="8478" width="6.5703125" style="300" customWidth="1"/>
    <col min="8479" max="8479" width="7.42578125" style="300" customWidth="1"/>
    <col min="8480" max="8480" width="5.140625" style="300" customWidth="1"/>
    <col min="8481" max="8705" width="9.140625" style="300"/>
    <col min="8706" max="8706" width="18.5703125" style="300" customWidth="1"/>
    <col min="8707" max="8707" width="4.7109375" style="300" customWidth="1"/>
    <col min="8708" max="8708" width="5" style="300" customWidth="1"/>
    <col min="8709" max="8709" width="6.42578125" style="300" customWidth="1"/>
    <col min="8710" max="8710" width="4.5703125" style="300" customWidth="1"/>
    <col min="8711" max="8711" width="6.42578125" style="300" customWidth="1"/>
    <col min="8712" max="8712" width="5.28515625" style="300" customWidth="1"/>
    <col min="8713" max="8713" width="5.42578125" style="300" customWidth="1"/>
    <col min="8714" max="8714" width="5" style="300" customWidth="1"/>
    <col min="8715" max="8715" width="5.28515625" style="300" customWidth="1"/>
    <col min="8716" max="8716" width="4.28515625" style="300" customWidth="1"/>
    <col min="8717" max="8717" width="5.7109375" style="300" customWidth="1"/>
    <col min="8718" max="8718" width="5.140625" style="300" customWidth="1"/>
    <col min="8719" max="8719" width="5.7109375" style="300" customWidth="1"/>
    <col min="8720" max="8720" width="5" style="300" customWidth="1"/>
    <col min="8721" max="8721" width="6.140625" style="300" customWidth="1"/>
    <col min="8722" max="8722" width="5.42578125" style="300" customWidth="1"/>
    <col min="8723" max="8723" width="4.85546875" style="300" customWidth="1"/>
    <col min="8724" max="8724" width="6" style="300" customWidth="1"/>
    <col min="8725" max="8725" width="4.85546875" style="300" bestFit="1" customWidth="1"/>
    <col min="8726" max="8726" width="5" style="300" customWidth="1"/>
    <col min="8727" max="8727" width="6.7109375" style="300" customWidth="1"/>
    <col min="8728" max="8728" width="4.7109375" style="300" customWidth="1"/>
    <col min="8729" max="8729" width="5.140625" style="300" customWidth="1"/>
    <col min="8730" max="8730" width="5.5703125" style="300" customWidth="1"/>
    <col min="8731" max="8731" width="5.140625" style="300" customWidth="1"/>
    <col min="8732" max="8732" width="4.85546875" style="300" customWidth="1"/>
    <col min="8733" max="8733" width="7.28515625" style="300" customWidth="1"/>
    <col min="8734" max="8734" width="6.5703125" style="300" customWidth="1"/>
    <col min="8735" max="8735" width="7.42578125" style="300" customWidth="1"/>
    <col min="8736" max="8736" width="5.140625" style="300" customWidth="1"/>
    <col min="8737" max="8961" width="9.140625" style="300"/>
    <col min="8962" max="8962" width="18.5703125" style="300" customWidth="1"/>
    <col min="8963" max="8963" width="4.7109375" style="300" customWidth="1"/>
    <col min="8964" max="8964" width="5" style="300" customWidth="1"/>
    <col min="8965" max="8965" width="6.42578125" style="300" customWidth="1"/>
    <col min="8966" max="8966" width="4.5703125" style="300" customWidth="1"/>
    <col min="8967" max="8967" width="6.42578125" style="300" customWidth="1"/>
    <col min="8968" max="8968" width="5.28515625" style="300" customWidth="1"/>
    <col min="8969" max="8969" width="5.42578125" style="300" customWidth="1"/>
    <col min="8970" max="8970" width="5" style="300" customWidth="1"/>
    <col min="8971" max="8971" width="5.28515625" style="300" customWidth="1"/>
    <col min="8972" max="8972" width="4.28515625" style="300" customWidth="1"/>
    <col min="8973" max="8973" width="5.7109375" style="300" customWidth="1"/>
    <col min="8974" max="8974" width="5.140625" style="300" customWidth="1"/>
    <col min="8975" max="8975" width="5.7109375" style="300" customWidth="1"/>
    <col min="8976" max="8976" width="5" style="300" customWidth="1"/>
    <col min="8977" max="8977" width="6.140625" style="300" customWidth="1"/>
    <col min="8978" max="8978" width="5.42578125" style="300" customWidth="1"/>
    <col min="8979" max="8979" width="4.85546875" style="300" customWidth="1"/>
    <col min="8980" max="8980" width="6" style="300" customWidth="1"/>
    <col min="8981" max="8981" width="4.85546875" style="300" bestFit="1" customWidth="1"/>
    <col min="8982" max="8982" width="5" style="300" customWidth="1"/>
    <col min="8983" max="8983" width="6.7109375" style="300" customWidth="1"/>
    <col min="8984" max="8984" width="4.7109375" style="300" customWidth="1"/>
    <col min="8985" max="8985" width="5.140625" style="300" customWidth="1"/>
    <col min="8986" max="8986" width="5.5703125" style="300" customWidth="1"/>
    <col min="8987" max="8987" width="5.140625" style="300" customWidth="1"/>
    <col min="8988" max="8988" width="4.85546875" style="300" customWidth="1"/>
    <col min="8989" max="8989" width="7.28515625" style="300" customWidth="1"/>
    <col min="8990" max="8990" width="6.5703125" style="300" customWidth="1"/>
    <col min="8991" max="8991" width="7.42578125" style="300" customWidth="1"/>
    <col min="8992" max="8992" width="5.140625" style="300" customWidth="1"/>
    <col min="8993" max="9217" width="9.140625" style="300"/>
    <col min="9218" max="9218" width="18.5703125" style="300" customWidth="1"/>
    <col min="9219" max="9219" width="4.7109375" style="300" customWidth="1"/>
    <col min="9220" max="9220" width="5" style="300" customWidth="1"/>
    <col min="9221" max="9221" width="6.42578125" style="300" customWidth="1"/>
    <col min="9222" max="9222" width="4.5703125" style="300" customWidth="1"/>
    <col min="9223" max="9223" width="6.42578125" style="300" customWidth="1"/>
    <col min="9224" max="9224" width="5.28515625" style="300" customWidth="1"/>
    <col min="9225" max="9225" width="5.42578125" style="300" customWidth="1"/>
    <col min="9226" max="9226" width="5" style="300" customWidth="1"/>
    <col min="9227" max="9227" width="5.28515625" style="300" customWidth="1"/>
    <col min="9228" max="9228" width="4.28515625" style="300" customWidth="1"/>
    <col min="9229" max="9229" width="5.7109375" style="300" customWidth="1"/>
    <col min="9230" max="9230" width="5.140625" style="300" customWidth="1"/>
    <col min="9231" max="9231" width="5.7109375" style="300" customWidth="1"/>
    <col min="9232" max="9232" width="5" style="300" customWidth="1"/>
    <col min="9233" max="9233" width="6.140625" style="300" customWidth="1"/>
    <col min="9234" max="9234" width="5.42578125" style="300" customWidth="1"/>
    <col min="9235" max="9235" width="4.85546875" style="300" customWidth="1"/>
    <col min="9236" max="9236" width="6" style="300" customWidth="1"/>
    <col min="9237" max="9237" width="4.85546875" style="300" bestFit="1" customWidth="1"/>
    <col min="9238" max="9238" width="5" style="300" customWidth="1"/>
    <col min="9239" max="9239" width="6.7109375" style="300" customWidth="1"/>
    <col min="9240" max="9240" width="4.7109375" style="300" customWidth="1"/>
    <col min="9241" max="9241" width="5.140625" style="300" customWidth="1"/>
    <col min="9242" max="9242" width="5.5703125" style="300" customWidth="1"/>
    <col min="9243" max="9243" width="5.140625" style="300" customWidth="1"/>
    <col min="9244" max="9244" width="4.85546875" style="300" customWidth="1"/>
    <col min="9245" max="9245" width="7.28515625" style="300" customWidth="1"/>
    <col min="9246" max="9246" width="6.5703125" style="300" customWidth="1"/>
    <col min="9247" max="9247" width="7.42578125" style="300" customWidth="1"/>
    <col min="9248" max="9248" width="5.140625" style="300" customWidth="1"/>
    <col min="9249" max="9473" width="9.140625" style="300"/>
    <col min="9474" max="9474" width="18.5703125" style="300" customWidth="1"/>
    <col min="9475" max="9475" width="4.7109375" style="300" customWidth="1"/>
    <col min="9476" max="9476" width="5" style="300" customWidth="1"/>
    <col min="9477" max="9477" width="6.42578125" style="300" customWidth="1"/>
    <col min="9478" max="9478" width="4.5703125" style="300" customWidth="1"/>
    <col min="9479" max="9479" width="6.42578125" style="300" customWidth="1"/>
    <col min="9480" max="9480" width="5.28515625" style="300" customWidth="1"/>
    <col min="9481" max="9481" width="5.42578125" style="300" customWidth="1"/>
    <col min="9482" max="9482" width="5" style="300" customWidth="1"/>
    <col min="9483" max="9483" width="5.28515625" style="300" customWidth="1"/>
    <col min="9484" max="9484" width="4.28515625" style="300" customWidth="1"/>
    <col min="9485" max="9485" width="5.7109375" style="300" customWidth="1"/>
    <col min="9486" max="9486" width="5.140625" style="300" customWidth="1"/>
    <col min="9487" max="9487" width="5.7109375" style="300" customWidth="1"/>
    <col min="9488" max="9488" width="5" style="300" customWidth="1"/>
    <col min="9489" max="9489" width="6.140625" style="300" customWidth="1"/>
    <col min="9490" max="9490" width="5.42578125" style="300" customWidth="1"/>
    <col min="9491" max="9491" width="4.85546875" style="300" customWidth="1"/>
    <col min="9492" max="9492" width="6" style="300" customWidth="1"/>
    <col min="9493" max="9493" width="4.85546875" style="300" bestFit="1" customWidth="1"/>
    <col min="9494" max="9494" width="5" style="300" customWidth="1"/>
    <col min="9495" max="9495" width="6.7109375" style="300" customWidth="1"/>
    <col min="9496" max="9496" width="4.7109375" style="300" customWidth="1"/>
    <col min="9497" max="9497" width="5.140625" style="300" customWidth="1"/>
    <col min="9498" max="9498" width="5.5703125" style="300" customWidth="1"/>
    <col min="9499" max="9499" width="5.140625" style="300" customWidth="1"/>
    <col min="9500" max="9500" width="4.85546875" style="300" customWidth="1"/>
    <col min="9501" max="9501" width="7.28515625" style="300" customWidth="1"/>
    <col min="9502" max="9502" width="6.5703125" style="300" customWidth="1"/>
    <col min="9503" max="9503" width="7.42578125" style="300" customWidth="1"/>
    <col min="9504" max="9504" width="5.140625" style="300" customWidth="1"/>
    <col min="9505" max="9729" width="9.140625" style="300"/>
    <col min="9730" max="9730" width="18.5703125" style="300" customWidth="1"/>
    <col min="9731" max="9731" width="4.7109375" style="300" customWidth="1"/>
    <col min="9732" max="9732" width="5" style="300" customWidth="1"/>
    <col min="9733" max="9733" width="6.42578125" style="300" customWidth="1"/>
    <col min="9734" max="9734" width="4.5703125" style="300" customWidth="1"/>
    <col min="9735" max="9735" width="6.42578125" style="300" customWidth="1"/>
    <col min="9736" max="9736" width="5.28515625" style="300" customWidth="1"/>
    <col min="9737" max="9737" width="5.42578125" style="300" customWidth="1"/>
    <col min="9738" max="9738" width="5" style="300" customWidth="1"/>
    <col min="9739" max="9739" width="5.28515625" style="300" customWidth="1"/>
    <col min="9740" max="9740" width="4.28515625" style="300" customWidth="1"/>
    <col min="9741" max="9741" width="5.7109375" style="300" customWidth="1"/>
    <col min="9742" max="9742" width="5.140625" style="300" customWidth="1"/>
    <col min="9743" max="9743" width="5.7109375" style="300" customWidth="1"/>
    <col min="9744" max="9744" width="5" style="300" customWidth="1"/>
    <col min="9745" max="9745" width="6.140625" style="300" customWidth="1"/>
    <col min="9746" max="9746" width="5.42578125" style="300" customWidth="1"/>
    <col min="9747" max="9747" width="4.85546875" style="300" customWidth="1"/>
    <col min="9748" max="9748" width="6" style="300" customWidth="1"/>
    <col min="9749" max="9749" width="4.85546875" style="300" bestFit="1" customWidth="1"/>
    <col min="9750" max="9750" width="5" style="300" customWidth="1"/>
    <col min="9751" max="9751" width="6.7109375" style="300" customWidth="1"/>
    <col min="9752" max="9752" width="4.7109375" style="300" customWidth="1"/>
    <col min="9753" max="9753" width="5.140625" style="300" customWidth="1"/>
    <col min="9754" max="9754" width="5.5703125" style="300" customWidth="1"/>
    <col min="9755" max="9755" width="5.140625" style="300" customWidth="1"/>
    <col min="9756" max="9756" width="4.85546875" style="300" customWidth="1"/>
    <col min="9757" max="9757" width="7.28515625" style="300" customWidth="1"/>
    <col min="9758" max="9758" width="6.5703125" style="300" customWidth="1"/>
    <col min="9759" max="9759" width="7.42578125" style="300" customWidth="1"/>
    <col min="9760" max="9760" width="5.140625" style="300" customWidth="1"/>
    <col min="9761" max="9985" width="9.140625" style="300"/>
    <col min="9986" max="9986" width="18.5703125" style="300" customWidth="1"/>
    <col min="9987" max="9987" width="4.7109375" style="300" customWidth="1"/>
    <col min="9988" max="9988" width="5" style="300" customWidth="1"/>
    <col min="9989" max="9989" width="6.42578125" style="300" customWidth="1"/>
    <col min="9990" max="9990" width="4.5703125" style="300" customWidth="1"/>
    <col min="9991" max="9991" width="6.42578125" style="300" customWidth="1"/>
    <col min="9992" max="9992" width="5.28515625" style="300" customWidth="1"/>
    <col min="9993" max="9993" width="5.42578125" style="300" customWidth="1"/>
    <col min="9994" max="9994" width="5" style="300" customWidth="1"/>
    <col min="9995" max="9995" width="5.28515625" style="300" customWidth="1"/>
    <col min="9996" max="9996" width="4.28515625" style="300" customWidth="1"/>
    <col min="9997" max="9997" width="5.7109375" style="300" customWidth="1"/>
    <col min="9998" max="9998" width="5.140625" style="300" customWidth="1"/>
    <col min="9999" max="9999" width="5.7109375" style="300" customWidth="1"/>
    <col min="10000" max="10000" width="5" style="300" customWidth="1"/>
    <col min="10001" max="10001" width="6.140625" style="300" customWidth="1"/>
    <col min="10002" max="10002" width="5.42578125" style="300" customWidth="1"/>
    <col min="10003" max="10003" width="4.85546875" style="300" customWidth="1"/>
    <col min="10004" max="10004" width="6" style="300" customWidth="1"/>
    <col min="10005" max="10005" width="4.85546875" style="300" bestFit="1" customWidth="1"/>
    <col min="10006" max="10006" width="5" style="300" customWidth="1"/>
    <col min="10007" max="10007" width="6.7109375" style="300" customWidth="1"/>
    <col min="10008" max="10008" width="4.7109375" style="300" customWidth="1"/>
    <col min="10009" max="10009" width="5.140625" style="300" customWidth="1"/>
    <col min="10010" max="10010" width="5.5703125" style="300" customWidth="1"/>
    <col min="10011" max="10011" width="5.140625" style="300" customWidth="1"/>
    <col min="10012" max="10012" width="4.85546875" style="300" customWidth="1"/>
    <col min="10013" max="10013" width="7.28515625" style="300" customWidth="1"/>
    <col min="10014" max="10014" width="6.5703125" style="300" customWidth="1"/>
    <col min="10015" max="10015" width="7.42578125" style="300" customWidth="1"/>
    <col min="10016" max="10016" width="5.140625" style="300" customWidth="1"/>
    <col min="10017" max="10241" width="9.140625" style="300"/>
    <col min="10242" max="10242" width="18.5703125" style="300" customWidth="1"/>
    <col min="10243" max="10243" width="4.7109375" style="300" customWidth="1"/>
    <col min="10244" max="10244" width="5" style="300" customWidth="1"/>
    <col min="10245" max="10245" width="6.42578125" style="300" customWidth="1"/>
    <col min="10246" max="10246" width="4.5703125" style="300" customWidth="1"/>
    <col min="10247" max="10247" width="6.42578125" style="300" customWidth="1"/>
    <col min="10248" max="10248" width="5.28515625" style="300" customWidth="1"/>
    <col min="10249" max="10249" width="5.42578125" style="300" customWidth="1"/>
    <col min="10250" max="10250" width="5" style="300" customWidth="1"/>
    <col min="10251" max="10251" width="5.28515625" style="300" customWidth="1"/>
    <col min="10252" max="10252" width="4.28515625" style="300" customWidth="1"/>
    <col min="10253" max="10253" width="5.7109375" style="300" customWidth="1"/>
    <col min="10254" max="10254" width="5.140625" style="300" customWidth="1"/>
    <col min="10255" max="10255" width="5.7109375" style="300" customWidth="1"/>
    <col min="10256" max="10256" width="5" style="300" customWidth="1"/>
    <col min="10257" max="10257" width="6.140625" style="300" customWidth="1"/>
    <col min="10258" max="10258" width="5.42578125" style="300" customWidth="1"/>
    <col min="10259" max="10259" width="4.85546875" style="300" customWidth="1"/>
    <col min="10260" max="10260" width="6" style="300" customWidth="1"/>
    <col min="10261" max="10261" width="4.85546875" style="300" bestFit="1" customWidth="1"/>
    <col min="10262" max="10262" width="5" style="300" customWidth="1"/>
    <col min="10263" max="10263" width="6.7109375" style="300" customWidth="1"/>
    <col min="10264" max="10264" width="4.7109375" style="300" customWidth="1"/>
    <col min="10265" max="10265" width="5.140625" style="300" customWidth="1"/>
    <col min="10266" max="10266" width="5.5703125" style="300" customWidth="1"/>
    <col min="10267" max="10267" width="5.140625" style="300" customWidth="1"/>
    <col min="10268" max="10268" width="4.85546875" style="300" customWidth="1"/>
    <col min="10269" max="10269" width="7.28515625" style="300" customWidth="1"/>
    <col min="10270" max="10270" width="6.5703125" style="300" customWidth="1"/>
    <col min="10271" max="10271" width="7.42578125" style="300" customWidth="1"/>
    <col min="10272" max="10272" width="5.140625" style="300" customWidth="1"/>
    <col min="10273" max="10497" width="9.140625" style="300"/>
    <col min="10498" max="10498" width="18.5703125" style="300" customWidth="1"/>
    <col min="10499" max="10499" width="4.7109375" style="300" customWidth="1"/>
    <col min="10500" max="10500" width="5" style="300" customWidth="1"/>
    <col min="10501" max="10501" width="6.42578125" style="300" customWidth="1"/>
    <col min="10502" max="10502" width="4.5703125" style="300" customWidth="1"/>
    <col min="10503" max="10503" width="6.42578125" style="300" customWidth="1"/>
    <col min="10504" max="10504" width="5.28515625" style="300" customWidth="1"/>
    <col min="10505" max="10505" width="5.42578125" style="300" customWidth="1"/>
    <col min="10506" max="10506" width="5" style="300" customWidth="1"/>
    <col min="10507" max="10507" width="5.28515625" style="300" customWidth="1"/>
    <col min="10508" max="10508" width="4.28515625" style="300" customWidth="1"/>
    <col min="10509" max="10509" width="5.7109375" style="300" customWidth="1"/>
    <col min="10510" max="10510" width="5.140625" style="300" customWidth="1"/>
    <col min="10511" max="10511" width="5.7109375" style="300" customWidth="1"/>
    <col min="10512" max="10512" width="5" style="300" customWidth="1"/>
    <col min="10513" max="10513" width="6.140625" style="300" customWidth="1"/>
    <col min="10514" max="10514" width="5.42578125" style="300" customWidth="1"/>
    <col min="10515" max="10515" width="4.85546875" style="300" customWidth="1"/>
    <col min="10516" max="10516" width="6" style="300" customWidth="1"/>
    <col min="10517" max="10517" width="4.85546875" style="300" bestFit="1" customWidth="1"/>
    <col min="10518" max="10518" width="5" style="300" customWidth="1"/>
    <col min="10519" max="10519" width="6.7109375" style="300" customWidth="1"/>
    <col min="10520" max="10520" width="4.7109375" style="300" customWidth="1"/>
    <col min="10521" max="10521" width="5.140625" style="300" customWidth="1"/>
    <col min="10522" max="10522" width="5.5703125" style="300" customWidth="1"/>
    <col min="10523" max="10523" width="5.140625" style="300" customWidth="1"/>
    <col min="10524" max="10524" width="4.85546875" style="300" customWidth="1"/>
    <col min="10525" max="10525" width="7.28515625" style="300" customWidth="1"/>
    <col min="10526" max="10526" width="6.5703125" style="300" customWidth="1"/>
    <col min="10527" max="10527" width="7.42578125" style="300" customWidth="1"/>
    <col min="10528" max="10528" width="5.140625" style="300" customWidth="1"/>
    <col min="10529" max="10753" width="9.140625" style="300"/>
    <col min="10754" max="10754" width="18.5703125" style="300" customWidth="1"/>
    <col min="10755" max="10755" width="4.7109375" style="300" customWidth="1"/>
    <col min="10756" max="10756" width="5" style="300" customWidth="1"/>
    <col min="10757" max="10757" width="6.42578125" style="300" customWidth="1"/>
    <col min="10758" max="10758" width="4.5703125" style="300" customWidth="1"/>
    <col min="10759" max="10759" width="6.42578125" style="300" customWidth="1"/>
    <col min="10760" max="10760" width="5.28515625" style="300" customWidth="1"/>
    <col min="10761" max="10761" width="5.42578125" style="300" customWidth="1"/>
    <col min="10762" max="10762" width="5" style="300" customWidth="1"/>
    <col min="10763" max="10763" width="5.28515625" style="300" customWidth="1"/>
    <col min="10764" max="10764" width="4.28515625" style="300" customWidth="1"/>
    <col min="10765" max="10765" width="5.7109375" style="300" customWidth="1"/>
    <col min="10766" max="10766" width="5.140625" style="300" customWidth="1"/>
    <col min="10767" max="10767" width="5.7109375" style="300" customWidth="1"/>
    <col min="10768" max="10768" width="5" style="300" customWidth="1"/>
    <col min="10769" max="10769" width="6.140625" style="300" customWidth="1"/>
    <col min="10770" max="10770" width="5.42578125" style="300" customWidth="1"/>
    <col min="10771" max="10771" width="4.85546875" style="300" customWidth="1"/>
    <col min="10772" max="10772" width="6" style="300" customWidth="1"/>
    <col min="10773" max="10773" width="4.85546875" style="300" bestFit="1" customWidth="1"/>
    <col min="10774" max="10774" width="5" style="300" customWidth="1"/>
    <col min="10775" max="10775" width="6.7109375" style="300" customWidth="1"/>
    <col min="10776" max="10776" width="4.7109375" style="300" customWidth="1"/>
    <col min="10777" max="10777" width="5.140625" style="300" customWidth="1"/>
    <col min="10778" max="10778" width="5.5703125" style="300" customWidth="1"/>
    <col min="10779" max="10779" width="5.140625" style="300" customWidth="1"/>
    <col min="10780" max="10780" width="4.85546875" style="300" customWidth="1"/>
    <col min="10781" max="10781" width="7.28515625" style="300" customWidth="1"/>
    <col min="10782" max="10782" width="6.5703125" style="300" customWidth="1"/>
    <col min="10783" max="10783" width="7.42578125" style="300" customWidth="1"/>
    <col min="10784" max="10784" width="5.140625" style="300" customWidth="1"/>
    <col min="10785" max="11009" width="9.140625" style="300"/>
    <col min="11010" max="11010" width="18.5703125" style="300" customWidth="1"/>
    <col min="11011" max="11011" width="4.7109375" style="300" customWidth="1"/>
    <col min="11012" max="11012" width="5" style="300" customWidth="1"/>
    <col min="11013" max="11013" width="6.42578125" style="300" customWidth="1"/>
    <col min="11014" max="11014" width="4.5703125" style="300" customWidth="1"/>
    <col min="11015" max="11015" width="6.42578125" style="300" customWidth="1"/>
    <col min="11016" max="11016" width="5.28515625" style="300" customWidth="1"/>
    <col min="11017" max="11017" width="5.42578125" style="300" customWidth="1"/>
    <col min="11018" max="11018" width="5" style="300" customWidth="1"/>
    <col min="11019" max="11019" width="5.28515625" style="300" customWidth="1"/>
    <col min="11020" max="11020" width="4.28515625" style="300" customWidth="1"/>
    <col min="11021" max="11021" width="5.7109375" style="300" customWidth="1"/>
    <col min="11022" max="11022" width="5.140625" style="300" customWidth="1"/>
    <col min="11023" max="11023" width="5.7109375" style="300" customWidth="1"/>
    <col min="11024" max="11024" width="5" style="300" customWidth="1"/>
    <col min="11025" max="11025" width="6.140625" style="300" customWidth="1"/>
    <col min="11026" max="11026" width="5.42578125" style="300" customWidth="1"/>
    <col min="11027" max="11027" width="4.85546875" style="300" customWidth="1"/>
    <col min="11028" max="11028" width="6" style="300" customWidth="1"/>
    <col min="11029" max="11029" width="4.85546875" style="300" bestFit="1" customWidth="1"/>
    <col min="11030" max="11030" width="5" style="300" customWidth="1"/>
    <col min="11031" max="11031" width="6.7109375" style="300" customWidth="1"/>
    <col min="11032" max="11032" width="4.7109375" style="300" customWidth="1"/>
    <col min="11033" max="11033" width="5.140625" style="300" customWidth="1"/>
    <col min="11034" max="11034" width="5.5703125" style="300" customWidth="1"/>
    <col min="11035" max="11035" width="5.140625" style="300" customWidth="1"/>
    <col min="11036" max="11036" width="4.85546875" style="300" customWidth="1"/>
    <col min="11037" max="11037" width="7.28515625" style="300" customWidth="1"/>
    <col min="11038" max="11038" width="6.5703125" style="300" customWidth="1"/>
    <col min="11039" max="11039" width="7.42578125" style="300" customWidth="1"/>
    <col min="11040" max="11040" width="5.140625" style="300" customWidth="1"/>
    <col min="11041" max="11265" width="9.140625" style="300"/>
    <col min="11266" max="11266" width="18.5703125" style="300" customWidth="1"/>
    <col min="11267" max="11267" width="4.7109375" style="300" customWidth="1"/>
    <col min="11268" max="11268" width="5" style="300" customWidth="1"/>
    <col min="11269" max="11269" width="6.42578125" style="300" customWidth="1"/>
    <col min="11270" max="11270" width="4.5703125" style="300" customWidth="1"/>
    <col min="11271" max="11271" width="6.42578125" style="300" customWidth="1"/>
    <col min="11272" max="11272" width="5.28515625" style="300" customWidth="1"/>
    <col min="11273" max="11273" width="5.42578125" style="300" customWidth="1"/>
    <col min="11274" max="11274" width="5" style="300" customWidth="1"/>
    <col min="11275" max="11275" width="5.28515625" style="300" customWidth="1"/>
    <col min="11276" max="11276" width="4.28515625" style="300" customWidth="1"/>
    <col min="11277" max="11277" width="5.7109375" style="300" customWidth="1"/>
    <col min="11278" max="11278" width="5.140625" style="300" customWidth="1"/>
    <col min="11279" max="11279" width="5.7109375" style="300" customWidth="1"/>
    <col min="11280" max="11280" width="5" style="300" customWidth="1"/>
    <col min="11281" max="11281" width="6.140625" style="300" customWidth="1"/>
    <col min="11282" max="11282" width="5.42578125" style="300" customWidth="1"/>
    <col min="11283" max="11283" width="4.85546875" style="300" customWidth="1"/>
    <col min="11284" max="11284" width="6" style="300" customWidth="1"/>
    <col min="11285" max="11285" width="4.85546875" style="300" bestFit="1" customWidth="1"/>
    <col min="11286" max="11286" width="5" style="300" customWidth="1"/>
    <col min="11287" max="11287" width="6.7109375" style="300" customWidth="1"/>
    <col min="11288" max="11288" width="4.7109375" style="300" customWidth="1"/>
    <col min="11289" max="11289" width="5.140625" style="300" customWidth="1"/>
    <col min="11290" max="11290" width="5.5703125" style="300" customWidth="1"/>
    <col min="11291" max="11291" width="5.140625" style="300" customWidth="1"/>
    <col min="11292" max="11292" width="4.85546875" style="300" customWidth="1"/>
    <col min="11293" max="11293" width="7.28515625" style="300" customWidth="1"/>
    <col min="11294" max="11294" width="6.5703125" style="300" customWidth="1"/>
    <col min="11295" max="11295" width="7.42578125" style="300" customWidth="1"/>
    <col min="11296" max="11296" width="5.140625" style="300" customWidth="1"/>
    <col min="11297" max="11521" width="9.140625" style="300"/>
    <col min="11522" max="11522" width="18.5703125" style="300" customWidth="1"/>
    <col min="11523" max="11523" width="4.7109375" style="300" customWidth="1"/>
    <col min="11524" max="11524" width="5" style="300" customWidth="1"/>
    <col min="11525" max="11525" width="6.42578125" style="300" customWidth="1"/>
    <col min="11526" max="11526" width="4.5703125" style="300" customWidth="1"/>
    <col min="11527" max="11527" width="6.42578125" style="300" customWidth="1"/>
    <col min="11528" max="11528" width="5.28515625" style="300" customWidth="1"/>
    <col min="11529" max="11529" width="5.42578125" style="300" customWidth="1"/>
    <col min="11530" max="11530" width="5" style="300" customWidth="1"/>
    <col min="11531" max="11531" width="5.28515625" style="300" customWidth="1"/>
    <col min="11532" max="11532" width="4.28515625" style="300" customWidth="1"/>
    <col min="11533" max="11533" width="5.7109375" style="300" customWidth="1"/>
    <col min="11534" max="11534" width="5.140625" style="300" customWidth="1"/>
    <col min="11535" max="11535" width="5.7109375" style="300" customWidth="1"/>
    <col min="11536" max="11536" width="5" style="300" customWidth="1"/>
    <col min="11537" max="11537" width="6.140625" style="300" customWidth="1"/>
    <col min="11538" max="11538" width="5.42578125" style="300" customWidth="1"/>
    <col min="11539" max="11539" width="4.85546875" style="300" customWidth="1"/>
    <col min="11540" max="11540" width="6" style="300" customWidth="1"/>
    <col min="11541" max="11541" width="4.85546875" style="300" bestFit="1" customWidth="1"/>
    <col min="11542" max="11542" width="5" style="300" customWidth="1"/>
    <col min="11543" max="11543" width="6.7109375" style="300" customWidth="1"/>
    <col min="11544" max="11544" width="4.7109375" style="300" customWidth="1"/>
    <col min="11545" max="11545" width="5.140625" style="300" customWidth="1"/>
    <col min="11546" max="11546" width="5.5703125" style="300" customWidth="1"/>
    <col min="11547" max="11547" width="5.140625" style="300" customWidth="1"/>
    <col min="11548" max="11548" width="4.85546875" style="300" customWidth="1"/>
    <col min="11549" max="11549" width="7.28515625" style="300" customWidth="1"/>
    <col min="11550" max="11550" width="6.5703125" style="300" customWidth="1"/>
    <col min="11551" max="11551" width="7.42578125" style="300" customWidth="1"/>
    <col min="11552" max="11552" width="5.140625" style="300" customWidth="1"/>
    <col min="11553" max="11777" width="9.140625" style="300"/>
    <col min="11778" max="11778" width="18.5703125" style="300" customWidth="1"/>
    <col min="11779" max="11779" width="4.7109375" style="300" customWidth="1"/>
    <col min="11780" max="11780" width="5" style="300" customWidth="1"/>
    <col min="11781" max="11781" width="6.42578125" style="300" customWidth="1"/>
    <col min="11782" max="11782" width="4.5703125" style="300" customWidth="1"/>
    <col min="11783" max="11783" width="6.42578125" style="300" customWidth="1"/>
    <col min="11784" max="11784" width="5.28515625" style="300" customWidth="1"/>
    <col min="11785" max="11785" width="5.42578125" style="300" customWidth="1"/>
    <col min="11786" max="11786" width="5" style="300" customWidth="1"/>
    <col min="11787" max="11787" width="5.28515625" style="300" customWidth="1"/>
    <col min="11788" max="11788" width="4.28515625" style="300" customWidth="1"/>
    <col min="11789" max="11789" width="5.7109375" style="300" customWidth="1"/>
    <col min="11790" max="11790" width="5.140625" style="300" customWidth="1"/>
    <col min="11791" max="11791" width="5.7109375" style="300" customWidth="1"/>
    <col min="11792" max="11792" width="5" style="300" customWidth="1"/>
    <col min="11793" max="11793" width="6.140625" style="300" customWidth="1"/>
    <col min="11794" max="11794" width="5.42578125" style="300" customWidth="1"/>
    <col min="11795" max="11795" width="4.85546875" style="300" customWidth="1"/>
    <col min="11796" max="11796" width="6" style="300" customWidth="1"/>
    <col min="11797" max="11797" width="4.85546875" style="300" bestFit="1" customWidth="1"/>
    <col min="11798" max="11798" width="5" style="300" customWidth="1"/>
    <col min="11799" max="11799" width="6.7109375" style="300" customWidth="1"/>
    <col min="11800" max="11800" width="4.7109375" style="300" customWidth="1"/>
    <col min="11801" max="11801" width="5.140625" style="300" customWidth="1"/>
    <col min="11802" max="11802" width="5.5703125" style="300" customWidth="1"/>
    <col min="11803" max="11803" width="5.140625" style="300" customWidth="1"/>
    <col min="11804" max="11804" width="4.85546875" style="300" customWidth="1"/>
    <col min="11805" max="11805" width="7.28515625" style="300" customWidth="1"/>
    <col min="11806" max="11806" width="6.5703125" style="300" customWidth="1"/>
    <col min="11807" max="11807" width="7.42578125" style="300" customWidth="1"/>
    <col min="11808" max="11808" width="5.140625" style="300" customWidth="1"/>
    <col min="11809" max="12033" width="9.140625" style="300"/>
    <col min="12034" max="12034" width="18.5703125" style="300" customWidth="1"/>
    <col min="12035" max="12035" width="4.7109375" style="300" customWidth="1"/>
    <col min="12036" max="12036" width="5" style="300" customWidth="1"/>
    <col min="12037" max="12037" width="6.42578125" style="300" customWidth="1"/>
    <col min="12038" max="12038" width="4.5703125" style="300" customWidth="1"/>
    <col min="12039" max="12039" width="6.42578125" style="300" customWidth="1"/>
    <col min="12040" max="12040" width="5.28515625" style="300" customWidth="1"/>
    <col min="12041" max="12041" width="5.42578125" style="300" customWidth="1"/>
    <col min="12042" max="12042" width="5" style="300" customWidth="1"/>
    <col min="12043" max="12043" width="5.28515625" style="300" customWidth="1"/>
    <col min="12044" max="12044" width="4.28515625" style="300" customWidth="1"/>
    <col min="12045" max="12045" width="5.7109375" style="300" customWidth="1"/>
    <col min="12046" max="12046" width="5.140625" style="300" customWidth="1"/>
    <col min="12047" max="12047" width="5.7109375" style="300" customWidth="1"/>
    <col min="12048" max="12048" width="5" style="300" customWidth="1"/>
    <col min="12049" max="12049" width="6.140625" style="300" customWidth="1"/>
    <col min="12050" max="12050" width="5.42578125" style="300" customWidth="1"/>
    <col min="12051" max="12051" width="4.85546875" style="300" customWidth="1"/>
    <col min="12052" max="12052" width="6" style="300" customWidth="1"/>
    <col min="12053" max="12053" width="4.85546875" style="300" bestFit="1" customWidth="1"/>
    <col min="12054" max="12054" width="5" style="300" customWidth="1"/>
    <col min="12055" max="12055" width="6.7109375" style="300" customWidth="1"/>
    <col min="12056" max="12056" width="4.7109375" style="300" customWidth="1"/>
    <col min="12057" max="12057" width="5.140625" style="300" customWidth="1"/>
    <col min="12058" max="12058" width="5.5703125" style="300" customWidth="1"/>
    <col min="12059" max="12059" width="5.140625" style="300" customWidth="1"/>
    <col min="12060" max="12060" width="4.85546875" style="300" customWidth="1"/>
    <col min="12061" max="12061" width="7.28515625" style="300" customWidth="1"/>
    <col min="12062" max="12062" width="6.5703125" style="300" customWidth="1"/>
    <col min="12063" max="12063" width="7.42578125" style="300" customWidth="1"/>
    <col min="12064" max="12064" width="5.140625" style="300" customWidth="1"/>
    <col min="12065" max="12289" width="9.140625" style="300"/>
    <col min="12290" max="12290" width="18.5703125" style="300" customWidth="1"/>
    <col min="12291" max="12291" width="4.7109375" style="300" customWidth="1"/>
    <col min="12292" max="12292" width="5" style="300" customWidth="1"/>
    <col min="12293" max="12293" width="6.42578125" style="300" customWidth="1"/>
    <col min="12294" max="12294" width="4.5703125" style="300" customWidth="1"/>
    <col min="12295" max="12295" width="6.42578125" style="300" customWidth="1"/>
    <col min="12296" max="12296" width="5.28515625" style="300" customWidth="1"/>
    <col min="12297" max="12297" width="5.42578125" style="300" customWidth="1"/>
    <col min="12298" max="12298" width="5" style="300" customWidth="1"/>
    <col min="12299" max="12299" width="5.28515625" style="300" customWidth="1"/>
    <col min="12300" max="12300" width="4.28515625" style="300" customWidth="1"/>
    <col min="12301" max="12301" width="5.7109375" style="300" customWidth="1"/>
    <col min="12302" max="12302" width="5.140625" style="300" customWidth="1"/>
    <col min="12303" max="12303" width="5.7109375" style="300" customWidth="1"/>
    <col min="12304" max="12304" width="5" style="300" customWidth="1"/>
    <col min="12305" max="12305" width="6.140625" style="300" customWidth="1"/>
    <col min="12306" max="12306" width="5.42578125" style="300" customWidth="1"/>
    <col min="12307" max="12307" width="4.85546875" style="300" customWidth="1"/>
    <col min="12308" max="12308" width="6" style="300" customWidth="1"/>
    <col min="12309" max="12309" width="4.85546875" style="300" bestFit="1" customWidth="1"/>
    <col min="12310" max="12310" width="5" style="300" customWidth="1"/>
    <col min="12311" max="12311" width="6.7109375" style="300" customWidth="1"/>
    <col min="12312" max="12312" width="4.7109375" style="300" customWidth="1"/>
    <col min="12313" max="12313" width="5.140625" style="300" customWidth="1"/>
    <col min="12314" max="12314" width="5.5703125" style="300" customWidth="1"/>
    <col min="12315" max="12315" width="5.140625" style="300" customWidth="1"/>
    <col min="12316" max="12316" width="4.85546875" style="300" customWidth="1"/>
    <col min="12317" max="12317" width="7.28515625" style="300" customWidth="1"/>
    <col min="12318" max="12318" width="6.5703125" style="300" customWidth="1"/>
    <col min="12319" max="12319" width="7.42578125" style="300" customWidth="1"/>
    <col min="12320" max="12320" width="5.140625" style="300" customWidth="1"/>
    <col min="12321" max="12545" width="9.140625" style="300"/>
    <col min="12546" max="12546" width="18.5703125" style="300" customWidth="1"/>
    <col min="12547" max="12547" width="4.7109375" style="300" customWidth="1"/>
    <col min="12548" max="12548" width="5" style="300" customWidth="1"/>
    <col min="12549" max="12549" width="6.42578125" style="300" customWidth="1"/>
    <col min="12550" max="12550" width="4.5703125" style="300" customWidth="1"/>
    <col min="12551" max="12551" width="6.42578125" style="300" customWidth="1"/>
    <col min="12552" max="12552" width="5.28515625" style="300" customWidth="1"/>
    <col min="12553" max="12553" width="5.42578125" style="300" customWidth="1"/>
    <col min="12554" max="12554" width="5" style="300" customWidth="1"/>
    <col min="12555" max="12555" width="5.28515625" style="300" customWidth="1"/>
    <col min="12556" max="12556" width="4.28515625" style="300" customWidth="1"/>
    <col min="12557" max="12557" width="5.7109375" style="300" customWidth="1"/>
    <col min="12558" max="12558" width="5.140625" style="300" customWidth="1"/>
    <col min="12559" max="12559" width="5.7109375" style="300" customWidth="1"/>
    <col min="12560" max="12560" width="5" style="300" customWidth="1"/>
    <col min="12561" max="12561" width="6.140625" style="300" customWidth="1"/>
    <col min="12562" max="12562" width="5.42578125" style="300" customWidth="1"/>
    <col min="12563" max="12563" width="4.85546875" style="300" customWidth="1"/>
    <col min="12564" max="12564" width="6" style="300" customWidth="1"/>
    <col min="12565" max="12565" width="4.85546875" style="300" bestFit="1" customWidth="1"/>
    <col min="12566" max="12566" width="5" style="300" customWidth="1"/>
    <col min="12567" max="12567" width="6.7109375" style="300" customWidth="1"/>
    <col min="12568" max="12568" width="4.7109375" style="300" customWidth="1"/>
    <col min="12569" max="12569" width="5.140625" style="300" customWidth="1"/>
    <col min="12570" max="12570" width="5.5703125" style="300" customWidth="1"/>
    <col min="12571" max="12571" width="5.140625" style="300" customWidth="1"/>
    <col min="12572" max="12572" width="4.85546875" style="300" customWidth="1"/>
    <col min="12573" max="12573" width="7.28515625" style="300" customWidth="1"/>
    <col min="12574" max="12574" width="6.5703125" style="300" customWidth="1"/>
    <col min="12575" max="12575" width="7.42578125" style="300" customWidth="1"/>
    <col min="12576" max="12576" width="5.140625" style="300" customWidth="1"/>
    <col min="12577" max="12801" width="9.140625" style="300"/>
    <col min="12802" max="12802" width="18.5703125" style="300" customWidth="1"/>
    <col min="12803" max="12803" width="4.7109375" style="300" customWidth="1"/>
    <col min="12804" max="12804" width="5" style="300" customWidth="1"/>
    <col min="12805" max="12805" width="6.42578125" style="300" customWidth="1"/>
    <col min="12806" max="12806" width="4.5703125" style="300" customWidth="1"/>
    <col min="12807" max="12807" width="6.42578125" style="300" customWidth="1"/>
    <col min="12808" max="12808" width="5.28515625" style="300" customWidth="1"/>
    <col min="12809" max="12809" width="5.42578125" style="300" customWidth="1"/>
    <col min="12810" max="12810" width="5" style="300" customWidth="1"/>
    <col min="12811" max="12811" width="5.28515625" style="300" customWidth="1"/>
    <col min="12812" max="12812" width="4.28515625" style="300" customWidth="1"/>
    <col min="12813" max="12813" width="5.7109375" style="300" customWidth="1"/>
    <col min="12814" max="12814" width="5.140625" style="300" customWidth="1"/>
    <col min="12815" max="12815" width="5.7109375" style="300" customWidth="1"/>
    <col min="12816" max="12816" width="5" style="300" customWidth="1"/>
    <col min="12817" max="12817" width="6.140625" style="300" customWidth="1"/>
    <col min="12818" max="12818" width="5.42578125" style="300" customWidth="1"/>
    <col min="12819" max="12819" width="4.85546875" style="300" customWidth="1"/>
    <col min="12820" max="12820" width="6" style="300" customWidth="1"/>
    <col min="12821" max="12821" width="4.85546875" style="300" bestFit="1" customWidth="1"/>
    <col min="12822" max="12822" width="5" style="300" customWidth="1"/>
    <col min="12823" max="12823" width="6.7109375" style="300" customWidth="1"/>
    <col min="12824" max="12824" width="4.7109375" style="300" customWidth="1"/>
    <col min="12825" max="12825" width="5.140625" style="300" customWidth="1"/>
    <col min="12826" max="12826" width="5.5703125" style="300" customWidth="1"/>
    <col min="12827" max="12827" width="5.140625" style="300" customWidth="1"/>
    <col min="12828" max="12828" width="4.85546875" style="300" customWidth="1"/>
    <col min="12829" max="12829" width="7.28515625" style="300" customWidth="1"/>
    <col min="12830" max="12830" width="6.5703125" style="300" customWidth="1"/>
    <col min="12831" max="12831" width="7.42578125" style="300" customWidth="1"/>
    <col min="12832" max="12832" width="5.140625" style="300" customWidth="1"/>
    <col min="12833" max="13057" width="9.140625" style="300"/>
    <col min="13058" max="13058" width="18.5703125" style="300" customWidth="1"/>
    <col min="13059" max="13059" width="4.7109375" style="300" customWidth="1"/>
    <col min="13060" max="13060" width="5" style="300" customWidth="1"/>
    <col min="13061" max="13061" width="6.42578125" style="300" customWidth="1"/>
    <col min="13062" max="13062" width="4.5703125" style="300" customWidth="1"/>
    <col min="13063" max="13063" width="6.42578125" style="300" customWidth="1"/>
    <col min="13064" max="13064" width="5.28515625" style="300" customWidth="1"/>
    <col min="13065" max="13065" width="5.42578125" style="300" customWidth="1"/>
    <col min="13066" max="13066" width="5" style="300" customWidth="1"/>
    <col min="13067" max="13067" width="5.28515625" style="300" customWidth="1"/>
    <col min="13068" max="13068" width="4.28515625" style="300" customWidth="1"/>
    <col min="13069" max="13069" width="5.7109375" style="300" customWidth="1"/>
    <col min="13070" max="13070" width="5.140625" style="300" customWidth="1"/>
    <col min="13071" max="13071" width="5.7109375" style="300" customWidth="1"/>
    <col min="13072" max="13072" width="5" style="300" customWidth="1"/>
    <col min="13073" max="13073" width="6.140625" style="300" customWidth="1"/>
    <col min="13074" max="13074" width="5.42578125" style="300" customWidth="1"/>
    <col min="13075" max="13075" width="4.85546875" style="300" customWidth="1"/>
    <col min="13076" max="13076" width="6" style="300" customWidth="1"/>
    <col min="13077" max="13077" width="4.85546875" style="300" bestFit="1" customWidth="1"/>
    <col min="13078" max="13078" width="5" style="300" customWidth="1"/>
    <col min="13079" max="13079" width="6.7109375" style="300" customWidth="1"/>
    <col min="13080" max="13080" width="4.7109375" style="300" customWidth="1"/>
    <col min="13081" max="13081" width="5.140625" style="300" customWidth="1"/>
    <col min="13082" max="13082" width="5.5703125" style="300" customWidth="1"/>
    <col min="13083" max="13083" width="5.140625" style="300" customWidth="1"/>
    <col min="13084" max="13084" width="4.85546875" style="300" customWidth="1"/>
    <col min="13085" max="13085" width="7.28515625" style="300" customWidth="1"/>
    <col min="13086" max="13086" width="6.5703125" style="300" customWidth="1"/>
    <col min="13087" max="13087" width="7.42578125" style="300" customWidth="1"/>
    <col min="13088" max="13088" width="5.140625" style="300" customWidth="1"/>
    <col min="13089" max="13313" width="9.140625" style="300"/>
    <col min="13314" max="13314" width="18.5703125" style="300" customWidth="1"/>
    <col min="13315" max="13315" width="4.7109375" style="300" customWidth="1"/>
    <col min="13316" max="13316" width="5" style="300" customWidth="1"/>
    <col min="13317" max="13317" width="6.42578125" style="300" customWidth="1"/>
    <col min="13318" max="13318" width="4.5703125" style="300" customWidth="1"/>
    <col min="13319" max="13319" width="6.42578125" style="300" customWidth="1"/>
    <col min="13320" max="13320" width="5.28515625" style="300" customWidth="1"/>
    <col min="13321" max="13321" width="5.42578125" style="300" customWidth="1"/>
    <col min="13322" max="13322" width="5" style="300" customWidth="1"/>
    <col min="13323" max="13323" width="5.28515625" style="300" customWidth="1"/>
    <col min="13324" max="13324" width="4.28515625" style="300" customWidth="1"/>
    <col min="13325" max="13325" width="5.7109375" style="300" customWidth="1"/>
    <col min="13326" max="13326" width="5.140625" style="300" customWidth="1"/>
    <col min="13327" max="13327" width="5.7109375" style="300" customWidth="1"/>
    <col min="13328" max="13328" width="5" style="300" customWidth="1"/>
    <col min="13329" max="13329" width="6.140625" style="300" customWidth="1"/>
    <col min="13330" max="13330" width="5.42578125" style="300" customWidth="1"/>
    <col min="13331" max="13331" width="4.85546875" style="300" customWidth="1"/>
    <col min="13332" max="13332" width="6" style="300" customWidth="1"/>
    <col min="13333" max="13333" width="4.85546875" style="300" bestFit="1" customWidth="1"/>
    <col min="13334" max="13334" width="5" style="300" customWidth="1"/>
    <col min="13335" max="13335" width="6.7109375" style="300" customWidth="1"/>
    <col min="13336" max="13336" width="4.7109375" style="300" customWidth="1"/>
    <col min="13337" max="13337" width="5.140625" style="300" customWidth="1"/>
    <col min="13338" max="13338" width="5.5703125" style="300" customWidth="1"/>
    <col min="13339" max="13339" width="5.140625" style="300" customWidth="1"/>
    <col min="13340" max="13340" width="4.85546875" style="300" customWidth="1"/>
    <col min="13341" max="13341" width="7.28515625" style="300" customWidth="1"/>
    <col min="13342" max="13342" width="6.5703125" style="300" customWidth="1"/>
    <col min="13343" max="13343" width="7.42578125" style="300" customWidth="1"/>
    <col min="13344" max="13344" width="5.140625" style="300" customWidth="1"/>
    <col min="13345" max="13569" width="9.140625" style="300"/>
    <col min="13570" max="13570" width="18.5703125" style="300" customWidth="1"/>
    <col min="13571" max="13571" width="4.7109375" style="300" customWidth="1"/>
    <col min="13572" max="13572" width="5" style="300" customWidth="1"/>
    <col min="13573" max="13573" width="6.42578125" style="300" customWidth="1"/>
    <col min="13574" max="13574" width="4.5703125" style="300" customWidth="1"/>
    <col min="13575" max="13575" width="6.42578125" style="300" customWidth="1"/>
    <col min="13576" max="13576" width="5.28515625" style="300" customWidth="1"/>
    <col min="13577" max="13577" width="5.42578125" style="300" customWidth="1"/>
    <col min="13578" max="13578" width="5" style="300" customWidth="1"/>
    <col min="13579" max="13579" width="5.28515625" style="300" customWidth="1"/>
    <col min="13580" max="13580" width="4.28515625" style="300" customWidth="1"/>
    <col min="13581" max="13581" width="5.7109375" style="300" customWidth="1"/>
    <col min="13582" max="13582" width="5.140625" style="300" customWidth="1"/>
    <col min="13583" max="13583" width="5.7109375" style="300" customWidth="1"/>
    <col min="13584" max="13584" width="5" style="300" customWidth="1"/>
    <col min="13585" max="13585" width="6.140625" style="300" customWidth="1"/>
    <col min="13586" max="13586" width="5.42578125" style="300" customWidth="1"/>
    <col min="13587" max="13587" width="4.85546875" style="300" customWidth="1"/>
    <col min="13588" max="13588" width="6" style="300" customWidth="1"/>
    <col min="13589" max="13589" width="4.85546875" style="300" bestFit="1" customWidth="1"/>
    <col min="13590" max="13590" width="5" style="300" customWidth="1"/>
    <col min="13591" max="13591" width="6.7109375" style="300" customWidth="1"/>
    <col min="13592" max="13592" width="4.7109375" style="300" customWidth="1"/>
    <col min="13593" max="13593" width="5.140625" style="300" customWidth="1"/>
    <col min="13594" max="13594" width="5.5703125" style="300" customWidth="1"/>
    <col min="13595" max="13595" width="5.140625" style="300" customWidth="1"/>
    <col min="13596" max="13596" width="4.85546875" style="300" customWidth="1"/>
    <col min="13597" max="13597" width="7.28515625" style="300" customWidth="1"/>
    <col min="13598" max="13598" width="6.5703125" style="300" customWidth="1"/>
    <col min="13599" max="13599" width="7.42578125" style="300" customWidth="1"/>
    <col min="13600" max="13600" width="5.140625" style="300" customWidth="1"/>
    <col min="13601" max="13825" width="9.140625" style="300"/>
    <col min="13826" max="13826" width="18.5703125" style="300" customWidth="1"/>
    <col min="13827" max="13827" width="4.7109375" style="300" customWidth="1"/>
    <col min="13828" max="13828" width="5" style="300" customWidth="1"/>
    <col min="13829" max="13829" width="6.42578125" style="300" customWidth="1"/>
    <col min="13830" max="13830" width="4.5703125" style="300" customWidth="1"/>
    <col min="13831" max="13831" width="6.42578125" style="300" customWidth="1"/>
    <col min="13832" max="13832" width="5.28515625" style="300" customWidth="1"/>
    <col min="13833" max="13833" width="5.42578125" style="300" customWidth="1"/>
    <col min="13834" max="13834" width="5" style="300" customWidth="1"/>
    <col min="13835" max="13835" width="5.28515625" style="300" customWidth="1"/>
    <col min="13836" max="13836" width="4.28515625" style="300" customWidth="1"/>
    <col min="13837" max="13837" width="5.7109375" style="300" customWidth="1"/>
    <col min="13838" max="13838" width="5.140625" style="300" customWidth="1"/>
    <col min="13839" max="13839" width="5.7109375" style="300" customWidth="1"/>
    <col min="13840" max="13840" width="5" style="300" customWidth="1"/>
    <col min="13841" max="13841" width="6.140625" style="300" customWidth="1"/>
    <col min="13842" max="13842" width="5.42578125" style="300" customWidth="1"/>
    <col min="13843" max="13843" width="4.85546875" style="300" customWidth="1"/>
    <col min="13844" max="13844" width="6" style="300" customWidth="1"/>
    <col min="13845" max="13845" width="4.85546875" style="300" bestFit="1" customWidth="1"/>
    <col min="13846" max="13846" width="5" style="300" customWidth="1"/>
    <col min="13847" max="13847" width="6.7109375" style="300" customWidth="1"/>
    <col min="13848" max="13848" width="4.7109375" style="300" customWidth="1"/>
    <col min="13849" max="13849" width="5.140625" style="300" customWidth="1"/>
    <col min="13850" max="13850" width="5.5703125" style="300" customWidth="1"/>
    <col min="13851" max="13851" width="5.140625" style="300" customWidth="1"/>
    <col min="13852" max="13852" width="4.85546875" style="300" customWidth="1"/>
    <col min="13853" max="13853" width="7.28515625" style="300" customWidth="1"/>
    <col min="13854" max="13854" width="6.5703125" style="300" customWidth="1"/>
    <col min="13855" max="13855" width="7.42578125" style="300" customWidth="1"/>
    <col min="13856" max="13856" width="5.140625" style="300" customWidth="1"/>
    <col min="13857" max="14081" width="9.140625" style="300"/>
    <col min="14082" max="14082" width="18.5703125" style="300" customWidth="1"/>
    <col min="14083" max="14083" width="4.7109375" style="300" customWidth="1"/>
    <col min="14084" max="14084" width="5" style="300" customWidth="1"/>
    <col min="14085" max="14085" width="6.42578125" style="300" customWidth="1"/>
    <col min="14086" max="14086" width="4.5703125" style="300" customWidth="1"/>
    <col min="14087" max="14087" width="6.42578125" style="300" customWidth="1"/>
    <col min="14088" max="14088" width="5.28515625" style="300" customWidth="1"/>
    <col min="14089" max="14089" width="5.42578125" style="300" customWidth="1"/>
    <col min="14090" max="14090" width="5" style="300" customWidth="1"/>
    <col min="14091" max="14091" width="5.28515625" style="300" customWidth="1"/>
    <col min="14092" max="14092" width="4.28515625" style="300" customWidth="1"/>
    <col min="14093" max="14093" width="5.7109375" style="300" customWidth="1"/>
    <col min="14094" max="14094" width="5.140625" style="300" customWidth="1"/>
    <col min="14095" max="14095" width="5.7109375" style="300" customWidth="1"/>
    <col min="14096" max="14096" width="5" style="300" customWidth="1"/>
    <col min="14097" max="14097" width="6.140625" style="300" customWidth="1"/>
    <col min="14098" max="14098" width="5.42578125" style="300" customWidth="1"/>
    <col min="14099" max="14099" width="4.85546875" style="300" customWidth="1"/>
    <col min="14100" max="14100" width="6" style="300" customWidth="1"/>
    <col min="14101" max="14101" width="4.85546875" style="300" bestFit="1" customWidth="1"/>
    <col min="14102" max="14102" width="5" style="300" customWidth="1"/>
    <col min="14103" max="14103" width="6.7109375" style="300" customWidth="1"/>
    <col min="14104" max="14104" width="4.7109375" style="300" customWidth="1"/>
    <col min="14105" max="14105" width="5.140625" style="300" customWidth="1"/>
    <col min="14106" max="14106" width="5.5703125" style="300" customWidth="1"/>
    <col min="14107" max="14107" width="5.140625" style="300" customWidth="1"/>
    <col min="14108" max="14108" width="4.85546875" style="300" customWidth="1"/>
    <col min="14109" max="14109" width="7.28515625" style="300" customWidth="1"/>
    <col min="14110" max="14110" width="6.5703125" style="300" customWidth="1"/>
    <col min="14111" max="14111" width="7.42578125" style="300" customWidth="1"/>
    <col min="14112" max="14112" width="5.140625" style="300" customWidth="1"/>
    <col min="14113" max="14337" width="9.140625" style="300"/>
    <col min="14338" max="14338" width="18.5703125" style="300" customWidth="1"/>
    <col min="14339" max="14339" width="4.7109375" style="300" customWidth="1"/>
    <col min="14340" max="14340" width="5" style="300" customWidth="1"/>
    <col min="14341" max="14341" width="6.42578125" style="300" customWidth="1"/>
    <col min="14342" max="14342" width="4.5703125" style="300" customWidth="1"/>
    <col min="14343" max="14343" width="6.42578125" style="300" customWidth="1"/>
    <col min="14344" max="14344" width="5.28515625" style="300" customWidth="1"/>
    <col min="14345" max="14345" width="5.42578125" style="300" customWidth="1"/>
    <col min="14346" max="14346" width="5" style="300" customWidth="1"/>
    <col min="14347" max="14347" width="5.28515625" style="300" customWidth="1"/>
    <col min="14348" max="14348" width="4.28515625" style="300" customWidth="1"/>
    <col min="14349" max="14349" width="5.7109375" style="300" customWidth="1"/>
    <col min="14350" max="14350" width="5.140625" style="300" customWidth="1"/>
    <col min="14351" max="14351" width="5.7109375" style="300" customWidth="1"/>
    <col min="14352" max="14352" width="5" style="300" customWidth="1"/>
    <col min="14353" max="14353" width="6.140625" style="300" customWidth="1"/>
    <col min="14354" max="14354" width="5.42578125" style="300" customWidth="1"/>
    <col min="14355" max="14355" width="4.85546875" style="300" customWidth="1"/>
    <col min="14356" max="14356" width="6" style="300" customWidth="1"/>
    <col min="14357" max="14357" width="4.85546875" style="300" bestFit="1" customWidth="1"/>
    <col min="14358" max="14358" width="5" style="300" customWidth="1"/>
    <col min="14359" max="14359" width="6.7109375" style="300" customWidth="1"/>
    <col min="14360" max="14360" width="4.7109375" style="300" customWidth="1"/>
    <col min="14361" max="14361" width="5.140625" style="300" customWidth="1"/>
    <col min="14362" max="14362" width="5.5703125" style="300" customWidth="1"/>
    <col min="14363" max="14363" width="5.140625" style="300" customWidth="1"/>
    <col min="14364" max="14364" width="4.85546875" style="300" customWidth="1"/>
    <col min="14365" max="14365" width="7.28515625" style="300" customWidth="1"/>
    <col min="14366" max="14366" width="6.5703125" style="300" customWidth="1"/>
    <col min="14367" max="14367" width="7.42578125" style="300" customWidth="1"/>
    <col min="14368" max="14368" width="5.140625" style="300" customWidth="1"/>
    <col min="14369" max="14593" width="9.140625" style="300"/>
    <col min="14594" max="14594" width="18.5703125" style="300" customWidth="1"/>
    <col min="14595" max="14595" width="4.7109375" style="300" customWidth="1"/>
    <col min="14596" max="14596" width="5" style="300" customWidth="1"/>
    <col min="14597" max="14597" width="6.42578125" style="300" customWidth="1"/>
    <col min="14598" max="14598" width="4.5703125" style="300" customWidth="1"/>
    <col min="14599" max="14599" width="6.42578125" style="300" customWidth="1"/>
    <col min="14600" max="14600" width="5.28515625" style="300" customWidth="1"/>
    <col min="14601" max="14601" width="5.42578125" style="300" customWidth="1"/>
    <col min="14602" max="14602" width="5" style="300" customWidth="1"/>
    <col min="14603" max="14603" width="5.28515625" style="300" customWidth="1"/>
    <col min="14604" max="14604" width="4.28515625" style="300" customWidth="1"/>
    <col min="14605" max="14605" width="5.7109375" style="300" customWidth="1"/>
    <col min="14606" max="14606" width="5.140625" style="300" customWidth="1"/>
    <col min="14607" max="14607" width="5.7109375" style="300" customWidth="1"/>
    <col min="14608" max="14608" width="5" style="300" customWidth="1"/>
    <col min="14609" max="14609" width="6.140625" style="300" customWidth="1"/>
    <col min="14610" max="14610" width="5.42578125" style="300" customWidth="1"/>
    <col min="14611" max="14611" width="4.85546875" style="300" customWidth="1"/>
    <col min="14612" max="14612" width="6" style="300" customWidth="1"/>
    <col min="14613" max="14613" width="4.85546875" style="300" bestFit="1" customWidth="1"/>
    <col min="14614" max="14614" width="5" style="300" customWidth="1"/>
    <col min="14615" max="14615" width="6.7109375" style="300" customWidth="1"/>
    <col min="14616" max="14616" width="4.7109375" style="300" customWidth="1"/>
    <col min="14617" max="14617" width="5.140625" style="300" customWidth="1"/>
    <col min="14618" max="14618" width="5.5703125" style="300" customWidth="1"/>
    <col min="14619" max="14619" width="5.140625" style="300" customWidth="1"/>
    <col min="14620" max="14620" width="4.85546875" style="300" customWidth="1"/>
    <col min="14621" max="14621" width="7.28515625" style="300" customWidth="1"/>
    <col min="14622" max="14622" width="6.5703125" style="300" customWidth="1"/>
    <col min="14623" max="14623" width="7.42578125" style="300" customWidth="1"/>
    <col min="14624" max="14624" width="5.140625" style="300" customWidth="1"/>
    <col min="14625" max="14849" width="9.140625" style="300"/>
    <col min="14850" max="14850" width="18.5703125" style="300" customWidth="1"/>
    <col min="14851" max="14851" width="4.7109375" style="300" customWidth="1"/>
    <col min="14852" max="14852" width="5" style="300" customWidth="1"/>
    <col min="14853" max="14853" width="6.42578125" style="300" customWidth="1"/>
    <col min="14854" max="14854" width="4.5703125" style="300" customWidth="1"/>
    <col min="14855" max="14855" width="6.42578125" style="300" customWidth="1"/>
    <col min="14856" max="14856" width="5.28515625" style="300" customWidth="1"/>
    <col min="14857" max="14857" width="5.42578125" style="300" customWidth="1"/>
    <col min="14858" max="14858" width="5" style="300" customWidth="1"/>
    <col min="14859" max="14859" width="5.28515625" style="300" customWidth="1"/>
    <col min="14860" max="14860" width="4.28515625" style="300" customWidth="1"/>
    <col min="14861" max="14861" width="5.7109375" style="300" customWidth="1"/>
    <col min="14862" max="14862" width="5.140625" style="300" customWidth="1"/>
    <col min="14863" max="14863" width="5.7109375" style="300" customWidth="1"/>
    <col min="14864" max="14864" width="5" style="300" customWidth="1"/>
    <col min="14865" max="14865" width="6.140625" style="300" customWidth="1"/>
    <col min="14866" max="14866" width="5.42578125" style="300" customWidth="1"/>
    <col min="14867" max="14867" width="4.85546875" style="300" customWidth="1"/>
    <col min="14868" max="14868" width="6" style="300" customWidth="1"/>
    <col min="14869" max="14869" width="4.85546875" style="300" bestFit="1" customWidth="1"/>
    <col min="14870" max="14870" width="5" style="300" customWidth="1"/>
    <col min="14871" max="14871" width="6.7109375" style="300" customWidth="1"/>
    <col min="14872" max="14872" width="4.7109375" style="300" customWidth="1"/>
    <col min="14873" max="14873" width="5.140625" style="300" customWidth="1"/>
    <col min="14874" max="14874" width="5.5703125" style="300" customWidth="1"/>
    <col min="14875" max="14875" width="5.140625" style="300" customWidth="1"/>
    <col min="14876" max="14876" width="4.85546875" style="300" customWidth="1"/>
    <col min="14877" max="14877" width="7.28515625" style="300" customWidth="1"/>
    <col min="14878" max="14878" width="6.5703125" style="300" customWidth="1"/>
    <col min="14879" max="14879" width="7.42578125" style="300" customWidth="1"/>
    <col min="14880" max="14880" width="5.140625" style="300" customWidth="1"/>
    <col min="14881" max="15105" width="9.140625" style="300"/>
    <col min="15106" max="15106" width="18.5703125" style="300" customWidth="1"/>
    <col min="15107" max="15107" width="4.7109375" style="300" customWidth="1"/>
    <col min="15108" max="15108" width="5" style="300" customWidth="1"/>
    <col min="15109" max="15109" width="6.42578125" style="300" customWidth="1"/>
    <col min="15110" max="15110" width="4.5703125" style="300" customWidth="1"/>
    <col min="15111" max="15111" width="6.42578125" style="300" customWidth="1"/>
    <col min="15112" max="15112" width="5.28515625" style="300" customWidth="1"/>
    <col min="15113" max="15113" width="5.42578125" style="300" customWidth="1"/>
    <col min="15114" max="15114" width="5" style="300" customWidth="1"/>
    <col min="15115" max="15115" width="5.28515625" style="300" customWidth="1"/>
    <col min="15116" max="15116" width="4.28515625" style="300" customWidth="1"/>
    <col min="15117" max="15117" width="5.7109375" style="300" customWidth="1"/>
    <col min="15118" max="15118" width="5.140625" style="300" customWidth="1"/>
    <col min="15119" max="15119" width="5.7109375" style="300" customWidth="1"/>
    <col min="15120" max="15120" width="5" style="300" customWidth="1"/>
    <col min="15121" max="15121" width="6.140625" style="300" customWidth="1"/>
    <col min="15122" max="15122" width="5.42578125" style="300" customWidth="1"/>
    <col min="15123" max="15123" width="4.85546875" style="300" customWidth="1"/>
    <col min="15124" max="15124" width="6" style="300" customWidth="1"/>
    <col min="15125" max="15125" width="4.85546875" style="300" bestFit="1" customWidth="1"/>
    <col min="15126" max="15126" width="5" style="300" customWidth="1"/>
    <col min="15127" max="15127" width="6.7109375" style="300" customWidth="1"/>
    <col min="15128" max="15128" width="4.7109375" style="300" customWidth="1"/>
    <col min="15129" max="15129" width="5.140625" style="300" customWidth="1"/>
    <col min="15130" max="15130" width="5.5703125" style="300" customWidth="1"/>
    <col min="15131" max="15131" width="5.140625" style="300" customWidth="1"/>
    <col min="15132" max="15132" width="4.85546875" style="300" customWidth="1"/>
    <col min="15133" max="15133" width="7.28515625" style="300" customWidth="1"/>
    <col min="15134" max="15134" width="6.5703125" style="300" customWidth="1"/>
    <col min="15135" max="15135" width="7.42578125" style="300" customWidth="1"/>
    <col min="15136" max="15136" width="5.140625" style="300" customWidth="1"/>
    <col min="15137" max="15361" width="9.140625" style="300"/>
    <col min="15362" max="15362" width="18.5703125" style="300" customWidth="1"/>
    <col min="15363" max="15363" width="4.7109375" style="300" customWidth="1"/>
    <col min="15364" max="15364" width="5" style="300" customWidth="1"/>
    <col min="15365" max="15365" width="6.42578125" style="300" customWidth="1"/>
    <col min="15366" max="15366" width="4.5703125" style="300" customWidth="1"/>
    <col min="15367" max="15367" width="6.42578125" style="300" customWidth="1"/>
    <col min="15368" max="15368" width="5.28515625" style="300" customWidth="1"/>
    <col min="15369" max="15369" width="5.42578125" style="300" customWidth="1"/>
    <col min="15370" max="15370" width="5" style="300" customWidth="1"/>
    <col min="15371" max="15371" width="5.28515625" style="300" customWidth="1"/>
    <col min="15372" max="15372" width="4.28515625" style="300" customWidth="1"/>
    <col min="15373" max="15373" width="5.7109375" style="300" customWidth="1"/>
    <col min="15374" max="15374" width="5.140625" style="300" customWidth="1"/>
    <col min="15375" max="15375" width="5.7109375" style="300" customWidth="1"/>
    <col min="15376" max="15376" width="5" style="300" customWidth="1"/>
    <col min="15377" max="15377" width="6.140625" style="300" customWidth="1"/>
    <col min="15378" max="15378" width="5.42578125" style="300" customWidth="1"/>
    <col min="15379" max="15379" width="4.85546875" style="300" customWidth="1"/>
    <col min="15380" max="15380" width="6" style="300" customWidth="1"/>
    <col min="15381" max="15381" width="4.85546875" style="300" bestFit="1" customWidth="1"/>
    <col min="15382" max="15382" width="5" style="300" customWidth="1"/>
    <col min="15383" max="15383" width="6.7109375" style="300" customWidth="1"/>
    <col min="15384" max="15384" width="4.7109375" style="300" customWidth="1"/>
    <col min="15385" max="15385" width="5.140625" style="300" customWidth="1"/>
    <col min="15386" max="15386" width="5.5703125" style="300" customWidth="1"/>
    <col min="15387" max="15387" width="5.140625" style="300" customWidth="1"/>
    <col min="15388" max="15388" width="4.85546875" style="300" customWidth="1"/>
    <col min="15389" max="15389" width="7.28515625" style="300" customWidth="1"/>
    <col min="15390" max="15390" width="6.5703125" style="300" customWidth="1"/>
    <col min="15391" max="15391" width="7.42578125" style="300" customWidth="1"/>
    <col min="15392" max="15392" width="5.140625" style="300" customWidth="1"/>
    <col min="15393" max="15617" width="9.140625" style="300"/>
    <col min="15618" max="15618" width="18.5703125" style="300" customWidth="1"/>
    <col min="15619" max="15619" width="4.7109375" style="300" customWidth="1"/>
    <col min="15620" max="15620" width="5" style="300" customWidth="1"/>
    <col min="15621" max="15621" width="6.42578125" style="300" customWidth="1"/>
    <col min="15622" max="15622" width="4.5703125" style="300" customWidth="1"/>
    <col min="15623" max="15623" width="6.42578125" style="300" customWidth="1"/>
    <col min="15624" max="15624" width="5.28515625" style="300" customWidth="1"/>
    <col min="15625" max="15625" width="5.42578125" style="300" customWidth="1"/>
    <col min="15626" max="15626" width="5" style="300" customWidth="1"/>
    <col min="15627" max="15627" width="5.28515625" style="300" customWidth="1"/>
    <col min="15628" max="15628" width="4.28515625" style="300" customWidth="1"/>
    <col min="15629" max="15629" width="5.7109375" style="300" customWidth="1"/>
    <col min="15630" max="15630" width="5.140625" style="300" customWidth="1"/>
    <col min="15631" max="15631" width="5.7109375" style="300" customWidth="1"/>
    <col min="15632" max="15632" width="5" style="300" customWidth="1"/>
    <col min="15633" max="15633" width="6.140625" style="300" customWidth="1"/>
    <col min="15634" max="15634" width="5.42578125" style="300" customWidth="1"/>
    <col min="15635" max="15635" width="4.85546875" style="300" customWidth="1"/>
    <col min="15636" max="15636" width="6" style="300" customWidth="1"/>
    <col min="15637" max="15637" width="4.85546875" style="300" bestFit="1" customWidth="1"/>
    <col min="15638" max="15638" width="5" style="300" customWidth="1"/>
    <col min="15639" max="15639" width="6.7109375" style="300" customWidth="1"/>
    <col min="15640" max="15640" width="4.7109375" style="300" customWidth="1"/>
    <col min="15641" max="15641" width="5.140625" style="300" customWidth="1"/>
    <col min="15642" max="15642" width="5.5703125" style="300" customWidth="1"/>
    <col min="15643" max="15643" width="5.140625" style="300" customWidth="1"/>
    <col min="15644" max="15644" width="4.85546875" style="300" customWidth="1"/>
    <col min="15645" max="15645" width="7.28515625" style="300" customWidth="1"/>
    <col min="15646" max="15646" width="6.5703125" style="300" customWidth="1"/>
    <col min="15647" max="15647" width="7.42578125" style="300" customWidth="1"/>
    <col min="15648" max="15648" width="5.140625" style="300" customWidth="1"/>
    <col min="15649" max="15873" width="9.140625" style="300"/>
    <col min="15874" max="15874" width="18.5703125" style="300" customWidth="1"/>
    <col min="15875" max="15875" width="4.7109375" style="300" customWidth="1"/>
    <col min="15876" max="15876" width="5" style="300" customWidth="1"/>
    <col min="15877" max="15877" width="6.42578125" style="300" customWidth="1"/>
    <col min="15878" max="15878" width="4.5703125" style="300" customWidth="1"/>
    <col min="15879" max="15879" width="6.42578125" style="300" customWidth="1"/>
    <col min="15880" max="15880" width="5.28515625" style="300" customWidth="1"/>
    <col min="15881" max="15881" width="5.42578125" style="300" customWidth="1"/>
    <col min="15882" max="15882" width="5" style="300" customWidth="1"/>
    <col min="15883" max="15883" width="5.28515625" style="300" customWidth="1"/>
    <col min="15884" max="15884" width="4.28515625" style="300" customWidth="1"/>
    <col min="15885" max="15885" width="5.7109375" style="300" customWidth="1"/>
    <col min="15886" max="15886" width="5.140625" style="300" customWidth="1"/>
    <col min="15887" max="15887" width="5.7109375" style="300" customWidth="1"/>
    <col min="15888" max="15888" width="5" style="300" customWidth="1"/>
    <col min="15889" max="15889" width="6.140625" style="300" customWidth="1"/>
    <col min="15890" max="15890" width="5.42578125" style="300" customWidth="1"/>
    <col min="15891" max="15891" width="4.85546875" style="300" customWidth="1"/>
    <col min="15892" max="15892" width="6" style="300" customWidth="1"/>
    <col min="15893" max="15893" width="4.85546875" style="300" bestFit="1" customWidth="1"/>
    <col min="15894" max="15894" width="5" style="300" customWidth="1"/>
    <col min="15895" max="15895" width="6.7109375" style="300" customWidth="1"/>
    <col min="15896" max="15896" width="4.7109375" style="300" customWidth="1"/>
    <col min="15897" max="15897" width="5.140625" style="300" customWidth="1"/>
    <col min="15898" max="15898" width="5.5703125" style="300" customWidth="1"/>
    <col min="15899" max="15899" width="5.140625" style="300" customWidth="1"/>
    <col min="15900" max="15900" width="4.85546875" style="300" customWidth="1"/>
    <col min="15901" max="15901" width="7.28515625" style="300" customWidth="1"/>
    <col min="15902" max="15902" width="6.5703125" style="300" customWidth="1"/>
    <col min="15903" max="15903" width="7.42578125" style="300" customWidth="1"/>
    <col min="15904" max="15904" width="5.140625" style="300" customWidth="1"/>
    <col min="15905" max="16129" width="9.140625" style="300"/>
    <col min="16130" max="16130" width="18.5703125" style="300" customWidth="1"/>
    <col min="16131" max="16131" width="4.7109375" style="300" customWidth="1"/>
    <col min="16132" max="16132" width="5" style="300" customWidth="1"/>
    <col min="16133" max="16133" width="6.42578125" style="300" customWidth="1"/>
    <col min="16134" max="16134" width="4.5703125" style="300" customWidth="1"/>
    <col min="16135" max="16135" width="6.42578125" style="300" customWidth="1"/>
    <col min="16136" max="16136" width="5.28515625" style="300" customWidth="1"/>
    <col min="16137" max="16137" width="5.42578125" style="300" customWidth="1"/>
    <col min="16138" max="16138" width="5" style="300" customWidth="1"/>
    <col min="16139" max="16139" width="5.28515625" style="300" customWidth="1"/>
    <col min="16140" max="16140" width="4.28515625" style="300" customWidth="1"/>
    <col min="16141" max="16141" width="5.7109375" style="300" customWidth="1"/>
    <col min="16142" max="16142" width="5.140625" style="300" customWidth="1"/>
    <col min="16143" max="16143" width="5.7109375" style="300" customWidth="1"/>
    <col min="16144" max="16144" width="5" style="300" customWidth="1"/>
    <col min="16145" max="16145" width="6.140625" style="300" customWidth="1"/>
    <col min="16146" max="16146" width="5.42578125" style="300" customWidth="1"/>
    <col min="16147" max="16147" width="4.85546875" style="300" customWidth="1"/>
    <col min="16148" max="16148" width="6" style="300" customWidth="1"/>
    <col min="16149" max="16149" width="4.85546875" style="300" bestFit="1" customWidth="1"/>
    <col min="16150" max="16150" width="5" style="300" customWidth="1"/>
    <col min="16151" max="16151" width="6.7109375" style="300" customWidth="1"/>
    <col min="16152" max="16152" width="4.7109375" style="300" customWidth="1"/>
    <col min="16153" max="16153" width="5.140625" style="300" customWidth="1"/>
    <col min="16154" max="16154" width="5.5703125" style="300" customWidth="1"/>
    <col min="16155" max="16155" width="5.140625" style="300" customWidth="1"/>
    <col min="16156" max="16156" width="4.85546875" style="300" customWidth="1"/>
    <col min="16157" max="16157" width="7.28515625" style="300" customWidth="1"/>
    <col min="16158" max="16158" width="6.5703125" style="300" customWidth="1"/>
    <col min="16159" max="16159" width="7.42578125" style="300" customWidth="1"/>
    <col min="16160" max="16160" width="5.140625" style="300" customWidth="1"/>
    <col min="16161" max="16384" width="9.140625" style="300"/>
  </cols>
  <sheetData>
    <row r="1" spans="1:34">
      <c r="A1" s="295"/>
      <c r="B1" s="296"/>
      <c r="C1" s="296"/>
      <c r="D1" s="296"/>
      <c r="E1" s="296"/>
      <c r="F1" s="296"/>
      <c r="G1" s="296"/>
      <c r="H1" s="296"/>
      <c r="I1" s="296"/>
      <c r="J1" s="296"/>
      <c r="K1" s="296"/>
      <c r="L1" s="296" t="s">
        <v>283</v>
      </c>
      <c r="M1" s="296"/>
      <c r="N1" s="296"/>
      <c r="O1" s="297"/>
      <c r="P1" s="297"/>
      <c r="Q1" s="298"/>
      <c r="R1" s="297"/>
      <c r="S1" s="298"/>
      <c r="T1" s="297"/>
      <c r="U1" s="298"/>
      <c r="V1" s="297"/>
      <c r="W1" s="298"/>
      <c r="X1" s="297"/>
      <c r="Y1" s="298"/>
      <c r="Z1" s="299"/>
      <c r="AA1" s="297"/>
      <c r="AB1" s="297"/>
      <c r="AC1" s="2011"/>
      <c r="AD1" s="2011"/>
      <c r="AE1" s="842"/>
    </row>
    <row r="2" spans="1:34" ht="12" thickBot="1">
      <c r="A2" s="301">
        <v>2019</v>
      </c>
      <c r="AD2" s="1293" t="s">
        <v>537</v>
      </c>
    </row>
    <row r="3" spans="1:34" ht="11.1" customHeight="1" thickTop="1">
      <c r="A3" s="2017" t="s">
        <v>284</v>
      </c>
      <c r="B3" s="2020" t="s">
        <v>285</v>
      </c>
      <c r="C3" s="2021"/>
      <c r="D3" s="2021"/>
      <c r="E3" s="2021"/>
      <c r="F3" s="2022"/>
      <c r="G3" s="2023" t="s">
        <v>245</v>
      </c>
      <c r="H3" s="2024"/>
      <c r="I3" s="2024"/>
      <c r="J3" s="2024"/>
      <c r="K3" s="2024"/>
      <c r="L3" s="2025"/>
      <c r="M3" s="2023" t="s">
        <v>250</v>
      </c>
      <c r="N3" s="2024"/>
      <c r="O3" s="2024"/>
      <c r="P3" s="2024"/>
      <c r="Q3" s="2024"/>
      <c r="R3" s="2024"/>
      <c r="S3" s="2024"/>
      <c r="T3" s="2024"/>
      <c r="U3" s="2024"/>
      <c r="V3" s="2024"/>
      <c r="W3" s="2025"/>
      <c r="X3" s="2020" t="s">
        <v>286</v>
      </c>
      <c r="Y3" s="2021"/>
      <c r="Z3" s="2022"/>
      <c r="AA3" s="2026" t="s">
        <v>287</v>
      </c>
      <c r="AB3" s="2029" t="s">
        <v>288</v>
      </c>
      <c r="AC3" s="2032" t="s">
        <v>289</v>
      </c>
      <c r="AD3" s="2012" t="s">
        <v>290</v>
      </c>
      <c r="AE3" s="844"/>
      <c r="AF3" s="1983" t="s">
        <v>408</v>
      </c>
      <c r="AG3" s="1984" t="s">
        <v>291</v>
      </c>
    </row>
    <row r="4" spans="1:34" ht="57.75" customHeight="1">
      <c r="A4" s="2018"/>
      <c r="B4" s="2001" t="s">
        <v>292</v>
      </c>
      <c r="C4" s="2007"/>
      <c r="D4" s="2041" t="s">
        <v>242</v>
      </c>
      <c r="E4" s="2043" t="s">
        <v>293</v>
      </c>
      <c r="F4" s="2015" t="s">
        <v>294</v>
      </c>
      <c r="G4" s="2001" t="s">
        <v>295</v>
      </c>
      <c r="H4" s="2007"/>
      <c r="I4" s="2009" t="s">
        <v>296</v>
      </c>
      <c r="J4" s="2007"/>
      <c r="K4" s="2009" t="s">
        <v>297</v>
      </c>
      <c r="L4" s="2038"/>
      <c r="M4" s="2001" t="s">
        <v>298</v>
      </c>
      <c r="N4" s="2007"/>
      <c r="O4" s="2009" t="s">
        <v>299</v>
      </c>
      <c r="P4" s="2035"/>
      <c r="Q4" s="2007"/>
      <c r="R4" s="2009" t="s">
        <v>300</v>
      </c>
      <c r="S4" s="2007"/>
      <c r="T4" s="2036" t="s">
        <v>301</v>
      </c>
      <c r="U4" s="2037"/>
      <c r="V4" s="2009" t="s">
        <v>302</v>
      </c>
      <c r="W4" s="2038"/>
      <c r="X4" s="2039" t="s">
        <v>292</v>
      </c>
      <c r="Y4" s="2041" t="s">
        <v>242</v>
      </c>
      <c r="Z4" s="2015" t="s">
        <v>293</v>
      </c>
      <c r="AA4" s="2027"/>
      <c r="AB4" s="2030"/>
      <c r="AC4" s="2033"/>
      <c r="AD4" s="2013"/>
      <c r="AE4" s="844"/>
      <c r="AF4" s="1983"/>
      <c r="AG4" s="1984"/>
    </row>
    <row r="5" spans="1:34" ht="45">
      <c r="A5" s="2019"/>
      <c r="B5" s="447" t="s">
        <v>83</v>
      </c>
      <c r="C5" s="448" t="s">
        <v>303</v>
      </c>
      <c r="D5" s="2042"/>
      <c r="E5" s="2031"/>
      <c r="F5" s="2016"/>
      <c r="G5" s="447" t="s">
        <v>292</v>
      </c>
      <c r="H5" s="446" t="s">
        <v>242</v>
      </c>
      <c r="I5" s="445" t="s">
        <v>292</v>
      </c>
      <c r="J5" s="446" t="s">
        <v>242</v>
      </c>
      <c r="K5" s="445" t="s">
        <v>292</v>
      </c>
      <c r="L5" s="308" t="s">
        <v>242</v>
      </c>
      <c r="M5" s="447" t="s">
        <v>292</v>
      </c>
      <c r="N5" s="446" t="s">
        <v>242</v>
      </c>
      <c r="O5" s="445" t="s">
        <v>292</v>
      </c>
      <c r="P5" s="445" t="s">
        <v>304</v>
      </c>
      <c r="Q5" s="446" t="s">
        <v>242</v>
      </c>
      <c r="R5" s="445" t="s">
        <v>292</v>
      </c>
      <c r="S5" s="446" t="s">
        <v>242</v>
      </c>
      <c r="T5" s="445" t="s">
        <v>292</v>
      </c>
      <c r="U5" s="446" t="s">
        <v>242</v>
      </c>
      <c r="V5" s="445" t="s">
        <v>292</v>
      </c>
      <c r="W5" s="308" t="s">
        <v>242</v>
      </c>
      <c r="X5" s="2040"/>
      <c r="Y5" s="2042"/>
      <c r="Z5" s="2016"/>
      <c r="AA5" s="2028"/>
      <c r="AB5" s="2031"/>
      <c r="AC5" s="2034"/>
      <c r="AD5" s="2014"/>
      <c r="AE5" s="844"/>
      <c r="AF5" s="1983"/>
      <c r="AG5" s="1984"/>
    </row>
    <row r="6" spans="1:34" ht="12" thickBot="1">
      <c r="A6" s="527" t="s">
        <v>305</v>
      </c>
      <c r="B6" s="309">
        <v>1</v>
      </c>
      <c r="C6" s="310">
        <v>2</v>
      </c>
      <c r="D6" s="310">
        <v>3</v>
      </c>
      <c r="E6" s="311"/>
      <c r="F6" s="311">
        <v>4</v>
      </c>
      <c r="G6" s="309">
        <v>5</v>
      </c>
      <c r="H6" s="310">
        <v>6</v>
      </c>
      <c r="I6" s="310">
        <v>7</v>
      </c>
      <c r="J6" s="310">
        <v>8</v>
      </c>
      <c r="K6" s="310">
        <v>9</v>
      </c>
      <c r="L6" s="311">
        <v>10</v>
      </c>
      <c r="M6" s="309">
        <v>11</v>
      </c>
      <c r="N6" s="310">
        <v>12</v>
      </c>
      <c r="O6" s="310">
        <v>13</v>
      </c>
      <c r="P6" s="310">
        <v>14</v>
      </c>
      <c r="Q6" s="310">
        <v>15</v>
      </c>
      <c r="R6" s="310">
        <v>16</v>
      </c>
      <c r="S6" s="310">
        <v>17</v>
      </c>
      <c r="T6" s="310">
        <v>18</v>
      </c>
      <c r="U6" s="310">
        <v>19</v>
      </c>
      <c r="V6" s="310">
        <v>20</v>
      </c>
      <c r="W6" s="311">
        <v>21</v>
      </c>
      <c r="X6" s="309">
        <v>22</v>
      </c>
      <c r="Y6" s="310">
        <v>23</v>
      </c>
      <c r="Z6" s="312"/>
      <c r="AA6" s="309">
        <v>24</v>
      </c>
      <c r="AB6" s="310">
        <v>25</v>
      </c>
      <c r="AC6" s="310">
        <v>26</v>
      </c>
      <c r="AD6" s="528">
        <v>27</v>
      </c>
      <c r="AE6" s="845"/>
      <c r="AF6" s="1983"/>
      <c r="AG6" s="1984"/>
    </row>
    <row r="7" spans="1:34" ht="12" thickBot="1">
      <c r="A7" s="529"/>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530"/>
      <c r="AE7" s="845"/>
      <c r="AF7" s="1983"/>
      <c r="AG7" s="1984"/>
    </row>
    <row r="8" spans="1:34" ht="12" thickBot="1">
      <c r="A8" s="531" t="s">
        <v>306</v>
      </c>
      <c r="B8" s="314"/>
      <c r="C8" s="314"/>
      <c r="D8" s="315"/>
      <c r="E8" s="314"/>
      <c r="F8" s="314"/>
      <c r="G8" s="314"/>
      <c r="H8" s="315"/>
      <c r="I8" s="314"/>
      <c r="J8" s="315"/>
      <c r="K8" s="314"/>
      <c r="L8" s="315"/>
      <c r="M8" s="314"/>
      <c r="N8" s="315"/>
      <c r="O8" s="314"/>
      <c r="P8" s="314"/>
      <c r="Q8" s="315"/>
      <c r="R8" s="314"/>
      <c r="S8" s="315"/>
      <c r="T8" s="314"/>
      <c r="U8" s="315"/>
      <c r="V8" s="314"/>
      <c r="W8" s="315"/>
      <c r="X8" s="314"/>
      <c r="Y8" s="315"/>
      <c r="Z8" s="314"/>
      <c r="AA8" s="314"/>
      <c r="AB8" s="314"/>
      <c r="AC8" s="316"/>
      <c r="AD8" s="532"/>
      <c r="AE8" s="846"/>
      <c r="AF8" s="1983"/>
      <c r="AG8" s="1984"/>
      <c r="AH8" s="300" t="e">
        <f>+AG9+AG10</f>
        <v>#REF!</v>
      </c>
    </row>
    <row r="9" spans="1:34">
      <c r="A9" s="533" t="s">
        <v>244</v>
      </c>
      <c r="B9" s="317" t="e">
        <f>+#REF!</f>
        <v>#REF!</v>
      </c>
      <c r="C9" s="318">
        <f>'[59]КРМД-18'!C6</f>
        <v>0</v>
      </c>
      <c r="D9" s="319" t="e">
        <f>+#REF!</f>
        <v>#REF!</v>
      </c>
      <c r="E9" s="320" t="e">
        <f t="shared" ref="E9:E21" si="0">IF(B9=0,0,D9*1000/B9)</f>
        <v>#REF!</v>
      </c>
      <c r="F9" s="321" t="e">
        <f>+#REF!</f>
        <v>#REF!</v>
      </c>
      <c r="G9" s="317" t="e">
        <f>#REF!</f>
        <v>#REF!</v>
      </c>
      <c r="H9" s="322"/>
      <c r="I9" s="318" t="e">
        <f>#REF!</f>
        <v>#REF!</v>
      </c>
      <c r="J9" s="322"/>
      <c r="K9" s="318" t="e">
        <f>#REF!</f>
        <v>#REF!</v>
      </c>
      <c r="L9" s="323"/>
      <c r="M9" s="317" t="e">
        <f>#REF!</f>
        <v>#REF!</v>
      </c>
      <c r="N9" s="322"/>
      <c r="O9" s="318" t="e">
        <f>#REF!</f>
        <v>#REF!</v>
      </c>
      <c r="P9" s="320" t="e">
        <f t="shared" ref="P9:P11" si="1">IF(O9=0,0,Q9*1000/O9)</f>
        <v>#REF!</v>
      </c>
      <c r="Q9" s="322"/>
      <c r="R9" s="318" t="e">
        <f>#REF!</f>
        <v>#REF!</v>
      </c>
      <c r="S9" s="322"/>
      <c r="T9" s="318" t="e">
        <f>#REF!</f>
        <v>#REF!</v>
      </c>
      <c r="U9" s="322"/>
      <c r="V9" s="318" t="e">
        <f>#REF!</f>
        <v>#REF!</v>
      </c>
      <c r="W9" s="323"/>
      <c r="X9" s="324" t="e">
        <f>#REF!</f>
        <v>#REF!</v>
      </c>
      <c r="Y9" s="896" t="e">
        <f>X9*0.46</f>
        <v>#REF!</v>
      </c>
      <c r="Z9" s="325" t="e">
        <f t="shared" ref="Z9:Z15" si="2">IF(X9=0,0,Y9*1000/X9)</f>
        <v>#REF!</v>
      </c>
      <c r="AA9" s="324" t="e">
        <f t="shared" ref="AA9:AA21" si="3">AD9/365</f>
        <v>#REF!</v>
      </c>
      <c r="AB9" s="326" t="e">
        <f t="shared" ref="AB9:AB12" si="4">IF(AD9=0,0,AC9/AD9*1000000)</f>
        <v>#REF!</v>
      </c>
      <c r="AC9" s="898" t="e">
        <f>Y9+N9+Q9+S9+U9+W9-(D9+H9+J9+L9)</f>
        <v>#REF!</v>
      </c>
      <c r="AD9" s="534" t="e">
        <f>#REF!</f>
        <v>#REF!</v>
      </c>
      <c r="AE9" s="847"/>
      <c r="AF9" s="851">
        <v>0.78</v>
      </c>
      <c r="AG9" s="852" t="e">
        <f>+B9*AF9</f>
        <v>#REF!</v>
      </c>
    </row>
    <row r="10" spans="1:34">
      <c r="A10" s="533" t="s">
        <v>260</v>
      </c>
      <c r="B10" s="317" t="e">
        <f>+#REF!</f>
        <v>#REF!</v>
      </c>
      <c r="C10" s="318">
        <f>'[59]КРМД-18'!C34</f>
        <v>0</v>
      </c>
      <c r="D10" s="319" t="e">
        <f>+#REF!</f>
        <v>#REF!</v>
      </c>
      <c r="E10" s="320" t="e">
        <f t="shared" si="0"/>
        <v>#REF!</v>
      </c>
      <c r="F10" s="321" t="e">
        <f>+#REF!</f>
        <v>#REF!</v>
      </c>
      <c r="G10" s="317" t="e">
        <f>#REF!</f>
        <v>#REF!</v>
      </c>
      <c r="H10" s="884" t="e">
        <f>N13</f>
        <v>#REF!</v>
      </c>
      <c r="I10" s="318" t="e">
        <f>#REF!</f>
        <v>#REF!</v>
      </c>
      <c r="J10" s="887" t="e">
        <f>I10*0.33</f>
        <v>#REF!</v>
      </c>
      <c r="K10" s="318" t="e">
        <f>#REF!</f>
        <v>#REF!</v>
      </c>
      <c r="L10" s="323"/>
      <c r="M10" s="317" t="e">
        <f>#REF!</f>
        <v>#REF!</v>
      </c>
      <c r="N10" s="893" t="e">
        <f>M10*0.3</f>
        <v>#REF!</v>
      </c>
      <c r="O10" s="318" t="e">
        <f>#REF!</f>
        <v>#REF!</v>
      </c>
      <c r="P10" s="320" t="e">
        <f t="shared" si="1"/>
        <v>#REF!</v>
      </c>
      <c r="Q10" s="322"/>
      <c r="R10" s="318" t="e">
        <f>#REF!</f>
        <v>#REF!</v>
      </c>
      <c r="S10" s="327"/>
      <c r="T10" s="318" t="e">
        <f>#REF!</f>
        <v>#REF!</v>
      </c>
      <c r="U10" s="322"/>
      <c r="V10" s="318" t="e">
        <f>#REF!</f>
        <v>#REF!</v>
      </c>
      <c r="W10" s="323"/>
      <c r="X10" s="317" t="e">
        <f>#REF!</f>
        <v>#REF!</v>
      </c>
      <c r="Y10" s="894" t="e">
        <f>X10*0.35</f>
        <v>#REF!</v>
      </c>
      <c r="Z10" s="320" t="e">
        <f t="shared" si="2"/>
        <v>#REF!</v>
      </c>
      <c r="AA10" s="317" t="e">
        <f t="shared" si="3"/>
        <v>#REF!</v>
      </c>
      <c r="AB10" s="318" t="e">
        <f t="shared" si="4"/>
        <v>#REF!</v>
      </c>
      <c r="AC10" s="899" t="e">
        <f t="shared" ref="AC10:AC18" si="5">Y10+N10+Q10+S10+U10+W10-(D10+H10+J10+L10)</f>
        <v>#REF!</v>
      </c>
      <c r="AD10" s="535" t="e">
        <f>#REF!</f>
        <v>#REF!</v>
      </c>
      <c r="AE10" s="847"/>
      <c r="AF10" s="853">
        <v>1</v>
      </c>
      <c r="AG10" s="852" t="e">
        <f t="shared" ref="AG10:AG21" si="6">+B10*AF10</f>
        <v>#REF!</v>
      </c>
    </row>
    <row r="11" spans="1:34">
      <c r="A11" s="533" t="s">
        <v>258</v>
      </c>
      <c r="B11" s="317" t="e">
        <f>+#REF!</f>
        <v>#REF!</v>
      </c>
      <c r="C11" s="318">
        <f>'[59]КРМД-18'!C20</f>
        <v>0</v>
      </c>
      <c r="D11" s="319" t="e">
        <f>+#REF!</f>
        <v>#REF!</v>
      </c>
      <c r="E11" s="320" t="e">
        <f t="shared" si="0"/>
        <v>#REF!</v>
      </c>
      <c r="F11" s="321" t="e">
        <f>+#REF!</f>
        <v>#REF!</v>
      </c>
      <c r="G11" s="317" t="e">
        <f>#REF!</f>
        <v>#REF!</v>
      </c>
      <c r="H11" s="884">
        <f>N15</f>
        <v>0</v>
      </c>
      <c r="I11" s="318" t="e">
        <f>#REF!</f>
        <v>#REF!</v>
      </c>
      <c r="J11" s="887"/>
      <c r="K11" s="318" t="e">
        <f>#REF!</f>
        <v>#REF!</v>
      </c>
      <c r="L11" s="323"/>
      <c r="M11" s="317" t="e">
        <f>#REF!</f>
        <v>#REF!</v>
      </c>
      <c r="N11" s="887" t="e">
        <f>M11*0.64</f>
        <v>#REF!</v>
      </c>
      <c r="O11" s="318" t="e">
        <f>#REF!</f>
        <v>#REF!</v>
      </c>
      <c r="P11" s="320" t="e">
        <f t="shared" si="1"/>
        <v>#REF!</v>
      </c>
      <c r="Q11" s="322"/>
      <c r="R11" s="318" t="e">
        <f>#REF!</f>
        <v>#REF!</v>
      </c>
      <c r="S11" s="322"/>
      <c r="T11" s="318" t="e">
        <f>#REF!</f>
        <v>#REF!</v>
      </c>
      <c r="U11" s="322"/>
      <c r="V11" s="318" t="e">
        <f>#REF!</f>
        <v>#REF!</v>
      </c>
      <c r="W11" s="323"/>
      <c r="X11" s="317" t="e">
        <f>#REF!</f>
        <v>#REF!</v>
      </c>
      <c r="Y11" s="894" t="e">
        <f>X11*0.4</f>
        <v>#REF!</v>
      </c>
      <c r="Z11" s="320" t="e">
        <f t="shared" si="2"/>
        <v>#REF!</v>
      </c>
      <c r="AA11" s="317" t="e">
        <f t="shared" si="3"/>
        <v>#REF!</v>
      </c>
      <c r="AB11" s="318" t="e">
        <f t="shared" si="4"/>
        <v>#REF!</v>
      </c>
      <c r="AC11" s="899" t="e">
        <f t="shared" si="5"/>
        <v>#REF!</v>
      </c>
      <c r="AD11" s="535" t="e">
        <f>#REF!</f>
        <v>#REF!</v>
      </c>
      <c r="AE11" s="847"/>
      <c r="AF11" s="851">
        <v>1</v>
      </c>
      <c r="AG11" s="852" t="e">
        <f t="shared" si="6"/>
        <v>#REF!</v>
      </c>
    </row>
    <row r="12" spans="1:34" ht="12" thickBot="1">
      <c r="A12" s="536" t="s">
        <v>261</v>
      </c>
      <c r="B12" s="328" t="e">
        <f>+#REF!</f>
        <v>#REF!</v>
      </c>
      <c r="C12" s="329">
        <f>'[59]КРМД-18'!C48</f>
        <v>0</v>
      </c>
      <c r="D12" s="330" t="e">
        <f>+#REF!</f>
        <v>#REF!</v>
      </c>
      <c r="E12" s="331" t="e">
        <f t="shared" si="0"/>
        <v>#REF!</v>
      </c>
      <c r="F12" s="321" t="e">
        <f>+#REF!</f>
        <v>#REF!</v>
      </c>
      <c r="G12" s="328" t="e">
        <f>#REF!</f>
        <v>#REF!</v>
      </c>
      <c r="H12" s="885" t="e">
        <f>N9+N10+N11</f>
        <v>#REF!</v>
      </c>
      <c r="I12" s="329" t="e">
        <f>#REF!</f>
        <v>#REF!</v>
      </c>
      <c r="J12" s="888"/>
      <c r="K12" s="329" t="e">
        <f>#REF!</f>
        <v>#REF!</v>
      </c>
      <c r="L12" s="333"/>
      <c r="M12" s="328" t="e">
        <f>#REF!</f>
        <v>#REF!</v>
      </c>
      <c r="N12" s="888"/>
      <c r="O12" s="329" t="e">
        <f>#REF!</f>
        <v>#REF!</v>
      </c>
      <c r="P12" s="331" t="e">
        <f>IF(O12=0,0,Q12*1000/O12)</f>
        <v>#REF!</v>
      </c>
      <c r="Q12" s="888" t="e">
        <f>O12*0.425</f>
        <v>#REF!</v>
      </c>
      <c r="R12" s="329" t="e">
        <f>#REF!</f>
        <v>#REF!</v>
      </c>
      <c r="S12" s="332"/>
      <c r="T12" s="329" t="e">
        <f>#REF!</f>
        <v>#REF!</v>
      </c>
      <c r="U12" s="332"/>
      <c r="V12" s="329" t="e">
        <f>#REF!</f>
        <v>#REF!</v>
      </c>
      <c r="W12" s="333"/>
      <c r="X12" s="328" t="e">
        <f>#REF!</f>
        <v>#REF!</v>
      </c>
      <c r="Y12" s="897" t="e">
        <f>X12*0.45</f>
        <v>#REF!</v>
      </c>
      <c r="Z12" s="331" t="e">
        <f t="shared" si="2"/>
        <v>#REF!</v>
      </c>
      <c r="AA12" s="328" t="e">
        <f t="shared" si="3"/>
        <v>#REF!</v>
      </c>
      <c r="AB12" s="329" t="e">
        <f t="shared" si="4"/>
        <v>#REF!</v>
      </c>
      <c r="AC12" s="900" t="e">
        <f t="shared" si="5"/>
        <v>#REF!</v>
      </c>
      <c r="AD12" s="537" t="e">
        <f>#REF!</f>
        <v>#REF!</v>
      </c>
      <c r="AE12" s="847"/>
      <c r="AF12" s="851">
        <v>0.5</v>
      </c>
      <c r="AG12" s="852" t="e">
        <f t="shared" si="6"/>
        <v>#REF!</v>
      </c>
      <c r="AH12" s="856" t="e">
        <f>SUM(AG12:AG21)</f>
        <v>#REF!</v>
      </c>
    </row>
    <row r="13" spans="1:34">
      <c r="A13" s="538" t="s">
        <v>263</v>
      </c>
      <c r="B13" s="324" t="e">
        <f>+#REF!</f>
        <v>#REF!</v>
      </c>
      <c r="C13" s="326">
        <f>'[59]КРМД-18'!C62</f>
        <v>0</v>
      </c>
      <c r="D13" s="334" t="e">
        <f>+#REF!</f>
        <v>#REF!</v>
      </c>
      <c r="E13" s="325" t="e">
        <f t="shared" si="0"/>
        <v>#REF!</v>
      </c>
      <c r="F13" s="321" t="e">
        <f>+#REF!</f>
        <v>#REF!</v>
      </c>
      <c r="G13" s="324" t="e">
        <f>#REF!</f>
        <v>#REF!</v>
      </c>
      <c r="H13" s="335" t="e">
        <f>N14</f>
        <v>#REF!</v>
      </c>
      <c r="I13" s="326" t="e">
        <f>#REF!</f>
        <v>#REF!</v>
      </c>
      <c r="J13" s="889"/>
      <c r="K13" s="326" t="e">
        <f>#REF!</f>
        <v>#REF!</v>
      </c>
      <c r="L13" s="336"/>
      <c r="M13" s="324" t="e">
        <f>#REF!</f>
        <v>#REF!</v>
      </c>
      <c r="N13" s="889" t="e">
        <f>M13*0.35</f>
        <v>#REF!</v>
      </c>
      <c r="O13" s="326" t="e">
        <f>#REF!</f>
        <v>#REF!</v>
      </c>
      <c r="P13" s="325" t="e">
        <f t="shared" ref="P13:P21" si="7">IF(O13=0,0,Q13*1000/O13)</f>
        <v>#REF!</v>
      </c>
      <c r="Q13" s="889" t="e">
        <f>O13*0.35</f>
        <v>#REF!</v>
      </c>
      <c r="R13" s="326" t="e">
        <f>#REF!</f>
        <v>#REF!</v>
      </c>
      <c r="S13" s="337"/>
      <c r="T13" s="326" t="e">
        <f>#REF!</f>
        <v>#REF!</v>
      </c>
      <c r="U13" s="337"/>
      <c r="V13" s="326" t="e">
        <f>#REF!</f>
        <v>#REF!</v>
      </c>
      <c r="W13" s="338"/>
      <c r="X13" s="324" t="e">
        <f>#REF!</f>
        <v>#REF!</v>
      </c>
      <c r="Y13" s="896" t="e">
        <f>X13*0.35</f>
        <v>#REF!</v>
      </c>
      <c r="Z13" s="325" t="e">
        <f t="shared" si="2"/>
        <v>#REF!</v>
      </c>
      <c r="AA13" s="324" t="e">
        <f t="shared" si="3"/>
        <v>#REF!</v>
      </c>
      <c r="AB13" s="326" t="e">
        <f>IF(AD13=0,0,AC13/AD13*100000)</f>
        <v>#REF!</v>
      </c>
      <c r="AC13" s="898" t="e">
        <f t="shared" si="5"/>
        <v>#REF!</v>
      </c>
      <c r="AD13" s="534" t="e">
        <f>#REF!</f>
        <v>#REF!</v>
      </c>
      <c r="AE13" s="847"/>
      <c r="AF13" s="851">
        <v>0.61</v>
      </c>
      <c r="AG13" s="852" t="e">
        <f t="shared" si="6"/>
        <v>#REF!</v>
      </c>
      <c r="AH13" s="856"/>
    </row>
    <row r="14" spans="1:34">
      <c r="A14" s="533" t="s">
        <v>264</v>
      </c>
      <c r="B14" s="317" t="e">
        <f>+#REF!</f>
        <v>#REF!</v>
      </c>
      <c r="C14" s="318">
        <f>'[59]КРМД-18'!C76</f>
        <v>0</v>
      </c>
      <c r="D14" s="319" t="e">
        <f>+#REF!</f>
        <v>#REF!</v>
      </c>
      <c r="E14" s="320" t="e">
        <f t="shared" si="0"/>
        <v>#REF!</v>
      </c>
      <c r="F14" s="321" t="e">
        <f>+#REF!</f>
        <v>#REF!</v>
      </c>
      <c r="G14" s="317" t="e">
        <f>#REF!</f>
        <v>#REF!</v>
      </c>
      <c r="H14" s="884" t="e">
        <f t="shared" ref="H14:H19" si="8">N16</f>
        <v>#REF!</v>
      </c>
      <c r="I14" s="318" t="e">
        <f>#REF!</f>
        <v>#REF!</v>
      </c>
      <c r="J14" s="887"/>
      <c r="K14" s="318" t="e">
        <f>#REF!</f>
        <v>#REF!</v>
      </c>
      <c r="L14" s="323"/>
      <c r="M14" s="317" t="e">
        <f>#REF!</f>
        <v>#REF!</v>
      </c>
      <c r="N14" s="887" t="e">
        <f>M14*0.34</f>
        <v>#REF!</v>
      </c>
      <c r="O14" s="318" t="e">
        <f>#REF!</f>
        <v>#REF!</v>
      </c>
      <c r="P14" s="320" t="e">
        <f t="shared" si="7"/>
        <v>#REF!</v>
      </c>
      <c r="Q14" s="887"/>
      <c r="R14" s="318" t="e">
        <f>#REF!</f>
        <v>#REF!</v>
      </c>
      <c r="S14" s="322"/>
      <c r="T14" s="318" t="e">
        <f>#REF!</f>
        <v>#REF!</v>
      </c>
      <c r="U14" s="322"/>
      <c r="V14" s="318" t="e">
        <f>#REF!</f>
        <v>#REF!</v>
      </c>
      <c r="W14" s="323"/>
      <c r="X14" s="317" t="e">
        <f>#REF!</f>
        <v>#REF!</v>
      </c>
      <c r="Y14" s="894" t="e">
        <f>X14*0.298</f>
        <v>#REF!</v>
      </c>
      <c r="Z14" s="320" t="e">
        <f t="shared" si="2"/>
        <v>#REF!</v>
      </c>
      <c r="AA14" s="317" t="e">
        <f t="shared" si="3"/>
        <v>#REF!</v>
      </c>
      <c r="AB14" s="318" t="e">
        <f>IF(AD14=0,0,AC14/AD14*100000)</f>
        <v>#REF!</v>
      </c>
      <c r="AC14" s="899" t="e">
        <f t="shared" si="5"/>
        <v>#REF!</v>
      </c>
      <c r="AD14" s="535" t="e">
        <f>#REF!</f>
        <v>#REF!</v>
      </c>
      <c r="AE14" s="847"/>
      <c r="AF14" s="851">
        <v>0.57999999999999996</v>
      </c>
      <c r="AG14" s="852" t="e">
        <f t="shared" si="6"/>
        <v>#REF!</v>
      </c>
      <c r="AH14" s="856"/>
    </row>
    <row r="15" spans="1:34">
      <c r="A15" s="533" t="s">
        <v>267</v>
      </c>
      <c r="B15" s="317" t="e">
        <f>+#REF!</f>
        <v>#REF!</v>
      </c>
      <c r="C15" s="318">
        <f>'[59]КРМД-18'!C118</f>
        <v>0</v>
      </c>
      <c r="D15" s="319" t="e">
        <f>+#REF!</f>
        <v>#REF!</v>
      </c>
      <c r="E15" s="320" t="e">
        <f t="shared" si="0"/>
        <v>#REF!</v>
      </c>
      <c r="F15" s="321" t="e">
        <f>+#REF!</f>
        <v>#REF!</v>
      </c>
      <c r="G15" s="317" t="e">
        <f>#REF!</f>
        <v>#REF!</v>
      </c>
      <c r="H15" s="884" t="e">
        <f t="shared" si="8"/>
        <v>#REF!</v>
      </c>
      <c r="I15" s="318" t="e">
        <f>#REF!</f>
        <v>#REF!</v>
      </c>
      <c r="J15" s="887"/>
      <c r="K15" s="318" t="e">
        <f>#REF!</f>
        <v>#REF!</v>
      </c>
      <c r="L15" s="323"/>
      <c r="M15" s="317" t="e">
        <f>#REF!</f>
        <v>#REF!</v>
      </c>
      <c r="N15" s="887"/>
      <c r="O15" s="318" t="e">
        <f>#REF!</f>
        <v>#REF!</v>
      </c>
      <c r="P15" s="320" t="e">
        <f t="shared" si="7"/>
        <v>#REF!</v>
      </c>
      <c r="Q15" s="887"/>
      <c r="R15" s="318" t="e">
        <f>#REF!</f>
        <v>#REF!</v>
      </c>
      <c r="S15" s="322"/>
      <c r="T15" s="318" t="e">
        <f>#REF!</f>
        <v>#REF!</v>
      </c>
      <c r="U15" s="322"/>
      <c r="V15" s="318" t="e">
        <f>#REF!</f>
        <v>#REF!</v>
      </c>
      <c r="W15" s="323"/>
      <c r="X15" s="317" t="e">
        <f>#REF!</f>
        <v>#REF!</v>
      </c>
      <c r="Y15" s="894" t="e">
        <f>X15*0.3</f>
        <v>#REF!</v>
      </c>
      <c r="Z15" s="320" t="e">
        <f t="shared" si="2"/>
        <v>#REF!</v>
      </c>
      <c r="AA15" s="317" t="e">
        <f t="shared" si="3"/>
        <v>#REF!</v>
      </c>
      <c r="AB15" s="318" t="e">
        <f t="shared" ref="AB15:AB21" si="9">IF(AD15=0,0,AC15/AD15*1000000)</f>
        <v>#REF!</v>
      </c>
      <c r="AC15" s="899" t="e">
        <f t="shared" si="5"/>
        <v>#REF!</v>
      </c>
      <c r="AD15" s="535" t="e">
        <f>#REF!</f>
        <v>#REF!</v>
      </c>
      <c r="AE15" s="847"/>
      <c r="AF15" s="851">
        <v>0.57999999999999996</v>
      </c>
      <c r="AG15" s="852" t="e">
        <f t="shared" si="6"/>
        <v>#REF!</v>
      </c>
      <c r="AH15" s="856"/>
    </row>
    <row r="16" spans="1:34">
      <c r="A16" s="533" t="s">
        <v>265</v>
      </c>
      <c r="B16" s="317" t="e">
        <f>+#REF!</f>
        <v>#REF!</v>
      </c>
      <c r="C16" s="318">
        <f>'[59]КРМД-18'!C90</f>
        <v>0</v>
      </c>
      <c r="D16" s="319" t="e">
        <f>+#REF!</f>
        <v>#REF!</v>
      </c>
      <c r="E16" s="320" t="e">
        <f t="shared" si="0"/>
        <v>#REF!</v>
      </c>
      <c r="F16" s="321" t="e">
        <f>+#REF!</f>
        <v>#REF!</v>
      </c>
      <c r="G16" s="317" t="e">
        <f>#REF!</f>
        <v>#REF!</v>
      </c>
      <c r="H16" s="884" t="e">
        <f t="shared" si="8"/>
        <v>#REF!</v>
      </c>
      <c r="I16" s="318" t="e">
        <f>#REF!</f>
        <v>#REF!</v>
      </c>
      <c r="J16" s="887"/>
      <c r="K16" s="318" t="e">
        <f>#REF!</f>
        <v>#REF!</v>
      </c>
      <c r="L16" s="323"/>
      <c r="M16" s="317" t="e">
        <f>#REF!</f>
        <v>#REF!</v>
      </c>
      <c r="N16" s="887" t="e">
        <f>M16*0.28</f>
        <v>#REF!</v>
      </c>
      <c r="O16" s="318" t="e">
        <f>#REF!</f>
        <v>#REF!</v>
      </c>
      <c r="P16" s="320" t="e">
        <f t="shared" si="7"/>
        <v>#REF!</v>
      </c>
      <c r="Q16" s="887" t="e">
        <f>O16*0.298</f>
        <v>#REF!</v>
      </c>
      <c r="R16" s="318" t="e">
        <f>#REF!</f>
        <v>#REF!</v>
      </c>
      <c r="S16" s="322"/>
      <c r="T16" s="318" t="e">
        <f>#REF!</f>
        <v>#REF!</v>
      </c>
      <c r="U16" s="322"/>
      <c r="V16" s="318" t="e">
        <f>#REF!</f>
        <v>#REF!</v>
      </c>
      <c r="W16" s="323"/>
      <c r="X16" s="317" t="e">
        <f>#REF!</f>
        <v>#REF!</v>
      </c>
      <c r="Y16" s="894" t="e">
        <f>X16*0.24</f>
        <v>#REF!</v>
      </c>
      <c r="Z16" s="320" t="e">
        <f>IF(X16=0,0,Y16*1000/X16)</f>
        <v>#REF!</v>
      </c>
      <c r="AA16" s="317" t="e">
        <f t="shared" si="3"/>
        <v>#REF!</v>
      </c>
      <c r="AB16" s="318" t="e">
        <f t="shared" si="9"/>
        <v>#REF!</v>
      </c>
      <c r="AC16" s="899" t="e">
        <f t="shared" si="5"/>
        <v>#REF!</v>
      </c>
      <c r="AD16" s="535" t="e">
        <f>#REF!</f>
        <v>#REF!</v>
      </c>
      <c r="AE16" s="847"/>
      <c r="AF16" s="851">
        <v>0.54</v>
      </c>
      <c r="AG16" s="852" t="e">
        <f t="shared" si="6"/>
        <v>#REF!</v>
      </c>
      <c r="AH16" s="856"/>
    </row>
    <row r="17" spans="1:39">
      <c r="A17" s="533" t="s">
        <v>268</v>
      </c>
      <c r="B17" s="317" t="e">
        <f>+#REF!</f>
        <v>#REF!</v>
      </c>
      <c r="C17" s="318">
        <f>'[59]КРМД-18'!C132</f>
        <v>0</v>
      </c>
      <c r="D17" s="319" t="e">
        <f>+#REF!</f>
        <v>#REF!</v>
      </c>
      <c r="E17" s="320" t="e">
        <f t="shared" si="0"/>
        <v>#REF!</v>
      </c>
      <c r="F17" s="321" t="e">
        <f>+#REF!</f>
        <v>#REF!</v>
      </c>
      <c r="G17" s="317" t="e">
        <f>#REF!</f>
        <v>#REF!</v>
      </c>
      <c r="H17" s="884" t="e">
        <f t="shared" si="8"/>
        <v>#REF!</v>
      </c>
      <c r="I17" s="318" t="e">
        <f>#REF!</f>
        <v>#REF!</v>
      </c>
      <c r="J17" s="887"/>
      <c r="K17" s="318" t="e">
        <f>#REF!</f>
        <v>#REF!</v>
      </c>
      <c r="L17" s="323"/>
      <c r="M17" s="317" t="e">
        <f>#REF!</f>
        <v>#REF!</v>
      </c>
      <c r="N17" s="887" t="e">
        <f>M17*0.25</f>
        <v>#REF!</v>
      </c>
      <c r="O17" s="318" t="e">
        <f>#REF!</f>
        <v>#REF!</v>
      </c>
      <c r="P17" s="320" t="e">
        <f t="shared" si="7"/>
        <v>#REF!</v>
      </c>
      <c r="Q17" s="887" t="e">
        <f>O17*0.28</f>
        <v>#REF!</v>
      </c>
      <c r="R17" s="318" t="e">
        <f>#REF!</f>
        <v>#REF!</v>
      </c>
      <c r="S17" s="322"/>
      <c r="T17" s="318" t="e">
        <f>#REF!</f>
        <v>#REF!</v>
      </c>
      <c r="U17" s="322"/>
      <c r="V17" s="318" t="e">
        <f>#REF!</f>
        <v>#REF!</v>
      </c>
      <c r="W17" s="323"/>
      <c r="X17" s="317" t="e">
        <f>#REF!</f>
        <v>#REF!</v>
      </c>
      <c r="Y17" s="894" t="e">
        <f>X17*0.257</f>
        <v>#REF!</v>
      </c>
      <c r="Z17" s="320" t="e">
        <f t="shared" ref="Z17:Z22" si="10">IF(X17=0,0,Y17*1000/X17)</f>
        <v>#REF!</v>
      </c>
      <c r="AA17" s="317" t="e">
        <f t="shared" si="3"/>
        <v>#REF!</v>
      </c>
      <c r="AB17" s="318" t="e">
        <f t="shared" si="9"/>
        <v>#REF!</v>
      </c>
      <c r="AC17" s="899" t="e">
        <f t="shared" si="5"/>
        <v>#REF!</v>
      </c>
      <c r="AD17" s="535" t="e">
        <f>#REF!</f>
        <v>#REF!</v>
      </c>
      <c r="AE17" s="847"/>
      <c r="AF17" s="851">
        <v>0.54</v>
      </c>
      <c r="AG17" s="852" t="e">
        <f t="shared" si="6"/>
        <v>#REF!</v>
      </c>
      <c r="AH17" s="856"/>
    </row>
    <row r="18" spans="1:39">
      <c r="A18" s="533" t="s">
        <v>266</v>
      </c>
      <c r="B18" s="317" t="e">
        <f>+#REF!</f>
        <v>#REF!</v>
      </c>
      <c r="C18" s="318">
        <f>'[59]КРМД-18'!C104</f>
        <v>0</v>
      </c>
      <c r="D18" s="319" t="e">
        <f>+#REF!</f>
        <v>#REF!</v>
      </c>
      <c r="E18" s="320" t="e">
        <f t="shared" si="0"/>
        <v>#REF!</v>
      </c>
      <c r="F18" s="321" t="e">
        <f>+#REF!</f>
        <v>#REF!</v>
      </c>
      <c r="G18" s="317" t="e">
        <f>#REF!</f>
        <v>#REF!</v>
      </c>
      <c r="H18" s="884" t="e">
        <f t="shared" si="8"/>
        <v>#REF!</v>
      </c>
      <c r="I18" s="318" t="e">
        <f>#REF!</f>
        <v>#REF!</v>
      </c>
      <c r="J18" s="887"/>
      <c r="K18" s="318" t="e">
        <f>#REF!</f>
        <v>#REF!</v>
      </c>
      <c r="L18" s="323"/>
      <c r="M18" s="317" t="e">
        <f>#REF!</f>
        <v>#REF!</v>
      </c>
      <c r="N18" s="887" t="e">
        <f>M18*0.24</f>
        <v>#REF!</v>
      </c>
      <c r="O18" s="318" t="e">
        <f>#REF!</f>
        <v>#REF!</v>
      </c>
      <c r="P18" s="320" t="e">
        <f t="shared" si="7"/>
        <v>#REF!</v>
      </c>
      <c r="Q18" s="887" t="e">
        <f>O18*0.23</f>
        <v>#REF!</v>
      </c>
      <c r="R18" s="318" t="e">
        <f>#REF!</f>
        <v>#REF!</v>
      </c>
      <c r="S18" s="322"/>
      <c r="T18" s="318" t="e">
        <f>#REF!</f>
        <v>#REF!</v>
      </c>
      <c r="U18" s="322"/>
      <c r="V18" s="318" t="e">
        <f>#REF!</f>
        <v>#REF!</v>
      </c>
      <c r="W18" s="323"/>
      <c r="X18" s="317" t="e">
        <f>#REF!</f>
        <v>#REF!</v>
      </c>
      <c r="Y18" s="894" t="e">
        <f>X18*0.13</f>
        <v>#REF!</v>
      </c>
      <c r="Z18" s="320" t="e">
        <f t="shared" si="10"/>
        <v>#REF!</v>
      </c>
      <c r="AA18" s="317" t="e">
        <f t="shared" si="3"/>
        <v>#REF!</v>
      </c>
      <c r="AB18" s="318" t="e">
        <f t="shared" si="9"/>
        <v>#REF!</v>
      </c>
      <c r="AC18" s="899" t="e">
        <f t="shared" si="5"/>
        <v>#REF!</v>
      </c>
      <c r="AD18" s="535" t="e">
        <f>#REF!</f>
        <v>#REF!</v>
      </c>
      <c r="AE18" s="847"/>
      <c r="AF18" s="851">
        <v>0.35</v>
      </c>
      <c r="AG18" s="852" t="e">
        <f t="shared" si="6"/>
        <v>#REF!</v>
      </c>
      <c r="AH18" s="856"/>
    </row>
    <row r="19" spans="1:39">
      <c r="A19" s="533" t="s">
        <v>269</v>
      </c>
      <c r="B19" s="317" t="e">
        <f>+#REF!</f>
        <v>#REF!</v>
      </c>
      <c r="C19" s="318">
        <f>'[59]КРМД-18'!C146</f>
        <v>0</v>
      </c>
      <c r="D19" s="319" t="e">
        <f>+#REF!</f>
        <v>#REF!</v>
      </c>
      <c r="E19" s="320" t="e">
        <f t="shared" si="0"/>
        <v>#REF!</v>
      </c>
      <c r="F19" s="321" t="e">
        <f>+#REF!</f>
        <v>#REF!</v>
      </c>
      <c r="G19" s="317" t="e">
        <f>#REF!</f>
        <v>#REF!</v>
      </c>
      <c r="H19" s="884" t="e">
        <f t="shared" si="8"/>
        <v>#REF!</v>
      </c>
      <c r="I19" s="318" t="e">
        <f>#REF!</f>
        <v>#REF!</v>
      </c>
      <c r="J19" s="887"/>
      <c r="K19" s="318" t="e">
        <f>#REF!</f>
        <v>#REF!</v>
      </c>
      <c r="L19" s="323"/>
      <c r="M19" s="317" t="e">
        <f>#REF!</f>
        <v>#REF!</v>
      </c>
      <c r="N19" s="887" t="e">
        <f>M19*0.24</f>
        <v>#REF!</v>
      </c>
      <c r="O19" s="318" t="e">
        <f>#REF!</f>
        <v>#REF!</v>
      </c>
      <c r="P19" s="320" t="e">
        <f t="shared" si="7"/>
        <v>#REF!</v>
      </c>
      <c r="Q19" s="887" t="e">
        <f>O19*0.22</f>
        <v>#REF!</v>
      </c>
      <c r="R19" s="318" t="e">
        <f>#REF!</f>
        <v>#REF!</v>
      </c>
      <c r="S19" s="322"/>
      <c r="T19" s="318" t="e">
        <f>#REF!</f>
        <v>#REF!</v>
      </c>
      <c r="U19" s="322"/>
      <c r="V19" s="318" t="e">
        <f>#REF!</f>
        <v>#REF!</v>
      </c>
      <c r="W19" s="323"/>
      <c r="X19" s="317" t="e">
        <f>#REF!</f>
        <v>#REF!</v>
      </c>
      <c r="Y19" s="894" t="e">
        <f>X19*0.15</f>
        <v>#REF!</v>
      </c>
      <c r="Z19" s="320" t="e">
        <f t="shared" si="10"/>
        <v>#REF!</v>
      </c>
      <c r="AA19" s="317" t="e">
        <f t="shared" si="3"/>
        <v>#REF!</v>
      </c>
      <c r="AB19" s="318" t="e">
        <f t="shared" si="9"/>
        <v>#REF!</v>
      </c>
      <c r="AC19" s="899" t="e">
        <f>Y19+N19+Q19+S19+U19+W19-(D19+H19+J19+L19)</f>
        <v>#REF!</v>
      </c>
      <c r="AD19" s="535" t="e">
        <f>#REF!</f>
        <v>#REF!</v>
      </c>
      <c r="AE19" s="847"/>
      <c r="AF19" s="851">
        <v>0.35</v>
      </c>
      <c r="AG19" s="852" t="e">
        <f t="shared" si="6"/>
        <v>#REF!</v>
      </c>
      <c r="AH19" s="856"/>
    </row>
    <row r="20" spans="1:39" ht="22.5">
      <c r="A20" s="539" t="s">
        <v>270</v>
      </c>
      <c r="B20" s="317"/>
      <c r="C20" s="318">
        <f>'[59]КРМД-18'!C160</f>
        <v>0</v>
      </c>
      <c r="D20" s="319">
        <v>0</v>
      </c>
      <c r="E20" s="320">
        <f t="shared" si="0"/>
        <v>0</v>
      </c>
      <c r="F20" s="321" t="e">
        <f>+#REF!</f>
        <v>#REF!</v>
      </c>
      <c r="G20" s="317" t="e">
        <f>#REF!</f>
        <v>#REF!</v>
      </c>
      <c r="H20" s="884" t="e">
        <f>G20*0.022</f>
        <v>#REF!</v>
      </c>
      <c r="I20" s="318" t="e">
        <f>#REF!</f>
        <v>#REF!</v>
      </c>
      <c r="J20" s="887" t="e">
        <f>I20*0.03</f>
        <v>#REF!</v>
      </c>
      <c r="K20" s="318" t="e">
        <f>#REF!</f>
        <v>#REF!</v>
      </c>
      <c r="L20" s="323"/>
      <c r="M20" s="317" t="e">
        <f>#REF!</f>
        <v>#REF!</v>
      </c>
      <c r="N20" s="887" t="e">
        <f>M20*0.13</f>
        <v>#REF!</v>
      </c>
      <c r="O20" s="318" t="e">
        <f>#REF!</f>
        <v>#REF!</v>
      </c>
      <c r="P20" s="320" t="e">
        <f t="shared" si="7"/>
        <v>#REF!</v>
      </c>
      <c r="Q20" s="887"/>
      <c r="R20" s="318" t="e">
        <f>#REF!</f>
        <v>#REF!</v>
      </c>
      <c r="S20" s="887" t="e">
        <f>R20*0.08</f>
        <v>#REF!</v>
      </c>
      <c r="T20" s="318" t="e">
        <f>#REF!</f>
        <v>#REF!</v>
      </c>
      <c r="U20" s="887" t="e">
        <f>T20*0.15</f>
        <v>#REF!</v>
      </c>
      <c r="V20" s="318" t="e">
        <f>#REF!</f>
        <v>#REF!</v>
      </c>
      <c r="W20" s="894" t="e">
        <f>V20*0.03</f>
        <v>#REF!</v>
      </c>
      <c r="X20" s="317" t="e">
        <f>#REF!</f>
        <v>#REF!</v>
      </c>
      <c r="Y20" s="894" t="e">
        <f>X20*0.085</f>
        <v>#REF!</v>
      </c>
      <c r="Z20" s="320" t="e">
        <f t="shared" si="10"/>
        <v>#REF!</v>
      </c>
      <c r="AA20" s="317" t="e">
        <f t="shared" si="3"/>
        <v>#REF!</v>
      </c>
      <c r="AB20" s="318" t="e">
        <f t="shared" si="9"/>
        <v>#REF!</v>
      </c>
      <c r="AC20" s="899" t="e">
        <f t="shared" ref="AC20" si="11">Y20+N20+Q20+S20+U20+W20-(D20+H20+J20+L20)</f>
        <v>#REF!</v>
      </c>
      <c r="AD20" s="535" t="e">
        <f>#REF!</f>
        <v>#REF!</v>
      </c>
      <c r="AE20" s="847"/>
      <c r="AF20" s="851">
        <v>0.125</v>
      </c>
      <c r="AG20" s="852">
        <f t="shared" si="6"/>
        <v>0</v>
      </c>
      <c r="AH20" s="856"/>
      <c r="AI20" s="1982" t="s">
        <v>77</v>
      </c>
      <c r="AJ20" s="1982"/>
      <c r="AK20" s="1982"/>
      <c r="AL20" s="1982"/>
      <c r="AM20" s="1982"/>
    </row>
    <row r="21" spans="1:39" ht="23.25" thickBot="1">
      <c r="A21" s="540" t="s">
        <v>272</v>
      </c>
      <c r="B21" s="339"/>
      <c r="C21" s="340">
        <f>'[59]КРМД-18'!C174</f>
        <v>0</v>
      </c>
      <c r="D21" s="341">
        <v>0</v>
      </c>
      <c r="E21" s="342">
        <f t="shared" si="0"/>
        <v>0</v>
      </c>
      <c r="F21" s="321" t="e">
        <f>+#REF!</f>
        <v>#REF!</v>
      </c>
      <c r="G21" s="339" t="e">
        <f>#REF!</f>
        <v>#REF!</v>
      </c>
      <c r="H21" s="886" t="e">
        <f>G21*0.022</f>
        <v>#REF!</v>
      </c>
      <c r="I21" s="340" t="e">
        <f>#REF!</f>
        <v>#REF!</v>
      </c>
      <c r="J21" s="890" t="e">
        <f>I21*0.035</f>
        <v>#REF!</v>
      </c>
      <c r="K21" s="340" t="e">
        <f>#REF!</f>
        <v>#REF!</v>
      </c>
      <c r="L21" s="344"/>
      <c r="M21" s="339" t="e">
        <f>#REF!</f>
        <v>#REF!</v>
      </c>
      <c r="N21" s="890" t="e">
        <f>M21*0.15</f>
        <v>#REF!</v>
      </c>
      <c r="O21" s="340" t="e">
        <f>#REF!</f>
        <v>#REF!</v>
      </c>
      <c r="P21" s="342" t="e">
        <f t="shared" si="7"/>
        <v>#REF!</v>
      </c>
      <c r="Q21" s="890" t="e">
        <f>O21*0.12</f>
        <v>#REF!</v>
      </c>
      <c r="R21" s="340" t="e">
        <f>#REF!</f>
        <v>#REF!</v>
      </c>
      <c r="S21" s="890" t="e">
        <f>+R21*0.09</f>
        <v>#REF!</v>
      </c>
      <c r="T21" s="340" t="e">
        <f>#REF!</f>
        <v>#REF!</v>
      </c>
      <c r="U21" s="890" t="e">
        <f>T21*0.15</f>
        <v>#REF!</v>
      </c>
      <c r="V21" s="340" t="e">
        <f>#REF!</f>
        <v>#REF!</v>
      </c>
      <c r="W21" s="895" t="e">
        <f>V21*0.03</f>
        <v>#REF!</v>
      </c>
      <c r="X21" s="339" t="e">
        <f>#REF!</f>
        <v>#REF!</v>
      </c>
      <c r="Y21" s="895" t="e">
        <f>X21*0.085</f>
        <v>#REF!</v>
      </c>
      <c r="Z21" s="342" t="e">
        <f t="shared" si="10"/>
        <v>#REF!</v>
      </c>
      <c r="AA21" s="339" t="e">
        <f t="shared" si="3"/>
        <v>#REF!</v>
      </c>
      <c r="AB21" s="340" t="e">
        <f t="shared" si="9"/>
        <v>#REF!</v>
      </c>
      <c r="AC21" s="901" t="e">
        <f>Y21+N21+Q21+S21+U21+W21-(D21+H21+J21+L21)</f>
        <v>#REF!</v>
      </c>
      <c r="AD21" s="541" t="e">
        <f>#REF!</f>
        <v>#REF!</v>
      </c>
      <c r="AE21" s="847"/>
      <c r="AF21" s="851">
        <v>0.125</v>
      </c>
      <c r="AG21" s="852">
        <f t="shared" si="6"/>
        <v>0</v>
      </c>
      <c r="AH21" s="856"/>
    </row>
    <row r="22" spans="1:39" ht="12" thickBot="1">
      <c r="A22" s="542" t="s">
        <v>238</v>
      </c>
      <c r="B22" s="543" t="e">
        <f>SUM(B9:B21)</f>
        <v>#REF!</v>
      </c>
      <c r="C22" s="544">
        <f>SUM(C9:C21)</f>
        <v>0</v>
      </c>
      <c r="D22" s="545" t="e">
        <f>SUM(D9:D21)</f>
        <v>#REF!</v>
      </c>
      <c r="E22" s="546" t="e">
        <f>IF(B22=0,0,D22*1000/B22)</f>
        <v>#REF!</v>
      </c>
      <c r="F22" s="547" t="e">
        <f t="shared" ref="F22:N22" si="12">SUM(F9:F21)</f>
        <v>#REF!</v>
      </c>
      <c r="G22" s="543" t="e">
        <f t="shared" si="12"/>
        <v>#REF!</v>
      </c>
      <c r="H22" s="545" t="e">
        <f t="shared" si="12"/>
        <v>#REF!</v>
      </c>
      <c r="I22" s="544" t="e">
        <f>SUM(I9:I21)</f>
        <v>#REF!</v>
      </c>
      <c r="J22" s="891" t="e">
        <f t="shared" si="12"/>
        <v>#REF!</v>
      </c>
      <c r="K22" s="544" t="e">
        <f t="shared" si="12"/>
        <v>#REF!</v>
      </c>
      <c r="L22" s="892">
        <f t="shared" si="12"/>
        <v>0</v>
      </c>
      <c r="M22" s="543" t="e">
        <f t="shared" si="12"/>
        <v>#REF!</v>
      </c>
      <c r="N22" s="891" t="e">
        <f t="shared" si="12"/>
        <v>#REF!</v>
      </c>
      <c r="O22" s="544" t="e">
        <f>SUM(O9:O21)</f>
        <v>#REF!</v>
      </c>
      <c r="P22" s="546" t="e">
        <f>IF(O22=0,0,Q22*1000/O22)</f>
        <v>#REF!</v>
      </c>
      <c r="Q22" s="891" t="e">
        <f t="shared" ref="Q22:W22" si="13">SUM(Q9:Q21)</f>
        <v>#REF!</v>
      </c>
      <c r="R22" s="544" t="e">
        <f t="shared" si="13"/>
        <v>#REF!</v>
      </c>
      <c r="S22" s="891" t="e">
        <f t="shared" si="13"/>
        <v>#REF!</v>
      </c>
      <c r="T22" s="544" t="e">
        <f t="shared" si="13"/>
        <v>#REF!</v>
      </c>
      <c r="U22" s="891" t="e">
        <f t="shared" si="13"/>
        <v>#REF!</v>
      </c>
      <c r="V22" s="544" t="e">
        <f t="shared" si="13"/>
        <v>#REF!</v>
      </c>
      <c r="W22" s="892" t="e">
        <f t="shared" si="13"/>
        <v>#REF!</v>
      </c>
      <c r="X22" s="543" t="e">
        <f>SUM(X9:X21)</f>
        <v>#REF!</v>
      </c>
      <c r="Y22" s="892" t="e">
        <f>SUM(Y9:Y21)</f>
        <v>#REF!</v>
      </c>
      <c r="Z22" s="546" t="e">
        <f t="shared" si="10"/>
        <v>#REF!</v>
      </c>
      <c r="AA22" s="543" t="e">
        <f>SUM(AA9:AA21)</f>
        <v>#REF!</v>
      </c>
      <c r="AB22" s="544">
        <f>IF(AD23=0,0,AC23/AD23*1000000)</f>
        <v>0</v>
      </c>
      <c r="AC22" s="891" t="e">
        <f t="shared" ref="AC22" si="14">Y22+N22+Q22+S22+U22+W22-(D22+H22+J22+L22)</f>
        <v>#REF!</v>
      </c>
      <c r="AD22" s="548" t="e">
        <f>SUM(AD9:AD21)</f>
        <v>#REF!</v>
      </c>
      <c r="AE22" s="847"/>
      <c r="AF22" s="854"/>
      <c r="AG22" s="855" t="e">
        <f>SUM(AG9:AG21)</f>
        <v>#REF!</v>
      </c>
    </row>
    <row r="23" spans="1:39" ht="12" thickTop="1">
      <c r="AD23" s="347"/>
      <c r="AE23" s="848"/>
    </row>
    <row r="24" spans="1:39" s="295" customFormat="1">
      <c r="B24" s="296"/>
      <c r="C24" s="296"/>
      <c r="D24" s="296"/>
      <c r="E24" s="296"/>
      <c r="F24" s="296"/>
      <c r="G24" s="296"/>
      <c r="H24" s="296"/>
      <c r="I24" s="296"/>
      <c r="J24" s="296"/>
      <c r="K24" s="296"/>
      <c r="L24" s="296" t="s">
        <v>283</v>
      </c>
      <c r="M24" s="296"/>
      <c r="N24" s="296"/>
      <c r="O24" s="297"/>
      <c r="P24" s="297"/>
      <c r="Q24" s="298"/>
      <c r="R24" s="297"/>
      <c r="S24" s="298"/>
      <c r="T24" s="297"/>
      <c r="U24" s="298"/>
      <c r="V24" s="297"/>
      <c r="W24" s="298"/>
      <c r="X24" s="297"/>
      <c r="Y24" s="298"/>
      <c r="Z24" s="299"/>
      <c r="AA24" s="297"/>
      <c r="AB24" s="297"/>
      <c r="AC24" s="2011"/>
      <c r="AD24" s="2011"/>
      <c r="AE24" s="842"/>
      <c r="AF24" s="345"/>
      <c r="AG24" s="345"/>
    </row>
    <row r="25" spans="1:39" ht="12" thickBot="1">
      <c r="A25" s="301">
        <f>+A2+1</f>
        <v>2020</v>
      </c>
      <c r="AD25" s="1293" t="s">
        <v>538</v>
      </c>
    </row>
    <row r="26" spans="1:39" ht="11.1" customHeight="1" thickTop="1">
      <c r="A26" s="2017" t="s">
        <v>284</v>
      </c>
      <c r="B26" s="2020" t="s">
        <v>285</v>
      </c>
      <c r="C26" s="2021"/>
      <c r="D26" s="2021"/>
      <c r="E26" s="2021"/>
      <c r="F26" s="2022"/>
      <c r="G26" s="2023" t="s">
        <v>245</v>
      </c>
      <c r="H26" s="2024"/>
      <c r="I26" s="2024"/>
      <c r="J26" s="2024"/>
      <c r="K26" s="2024"/>
      <c r="L26" s="2025"/>
      <c r="M26" s="2023" t="s">
        <v>250</v>
      </c>
      <c r="N26" s="2024"/>
      <c r="O26" s="2024"/>
      <c r="P26" s="2024"/>
      <c r="Q26" s="2024"/>
      <c r="R26" s="2024"/>
      <c r="S26" s="2024"/>
      <c r="T26" s="2024"/>
      <c r="U26" s="2024"/>
      <c r="V26" s="2024"/>
      <c r="W26" s="2025"/>
      <c r="X26" s="2020" t="s">
        <v>286</v>
      </c>
      <c r="Y26" s="2021"/>
      <c r="Z26" s="2022"/>
      <c r="AA26" s="2026" t="s">
        <v>287</v>
      </c>
      <c r="AB26" s="2029" t="s">
        <v>288</v>
      </c>
      <c r="AC26" s="2032" t="s">
        <v>289</v>
      </c>
      <c r="AD26" s="2012" t="s">
        <v>290</v>
      </c>
      <c r="AE26" s="844"/>
      <c r="AF26" s="1983" t="s">
        <v>408</v>
      </c>
      <c r="AG26" s="1984" t="s">
        <v>291</v>
      </c>
    </row>
    <row r="27" spans="1:39" ht="57.75" customHeight="1">
      <c r="A27" s="2018"/>
      <c r="B27" s="2001" t="s">
        <v>292</v>
      </c>
      <c r="C27" s="2007"/>
      <c r="D27" s="2041" t="s">
        <v>242</v>
      </c>
      <c r="E27" s="2043" t="s">
        <v>293</v>
      </c>
      <c r="F27" s="2015" t="s">
        <v>294</v>
      </c>
      <c r="G27" s="2001" t="s">
        <v>295</v>
      </c>
      <c r="H27" s="2007"/>
      <c r="I27" s="2009" t="s">
        <v>296</v>
      </c>
      <c r="J27" s="2007"/>
      <c r="K27" s="2009" t="s">
        <v>297</v>
      </c>
      <c r="L27" s="2038"/>
      <c r="M27" s="2001" t="s">
        <v>298</v>
      </c>
      <c r="N27" s="2007"/>
      <c r="O27" s="2009" t="s">
        <v>299</v>
      </c>
      <c r="P27" s="2035"/>
      <c r="Q27" s="2007"/>
      <c r="R27" s="2009" t="s">
        <v>300</v>
      </c>
      <c r="S27" s="2007"/>
      <c r="T27" s="2036" t="s">
        <v>301</v>
      </c>
      <c r="U27" s="2037"/>
      <c r="V27" s="2009" t="s">
        <v>302</v>
      </c>
      <c r="W27" s="2038"/>
      <c r="X27" s="2039" t="s">
        <v>292</v>
      </c>
      <c r="Y27" s="2041" t="s">
        <v>242</v>
      </c>
      <c r="Z27" s="2015" t="s">
        <v>293</v>
      </c>
      <c r="AA27" s="2027"/>
      <c r="AB27" s="2030"/>
      <c r="AC27" s="2033"/>
      <c r="AD27" s="2013"/>
      <c r="AE27" s="844"/>
      <c r="AF27" s="1983"/>
      <c r="AG27" s="1984"/>
    </row>
    <row r="28" spans="1:39" ht="45">
      <c r="A28" s="2019"/>
      <c r="B28" s="447" t="s">
        <v>83</v>
      </c>
      <c r="C28" s="448" t="s">
        <v>303</v>
      </c>
      <c r="D28" s="2042"/>
      <c r="E28" s="2031"/>
      <c r="F28" s="2016"/>
      <c r="G28" s="447" t="s">
        <v>292</v>
      </c>
      <c r="H28" s="446" t="s">
        <v>242</v>
      </c>
      <c r="I28" s="445" t="s">
        <v>292</v>
      </c>
      <c r="J28" s="446" t="s">
        <v>242</v>
      </c>
      <c r="K28" s="445" t="s">
        <v>292</v>
      </c>
      <c r="L28" s="308" t="s">
        <v>242</v>
      </c>
      <c r="M28" s="447" t="s">
        <v>292</v>
      </c>
      <c r="N28" s="446" t="s">
        <v>242</v>
      </c>
      <c r="O28" s="445" t="s">
        <v>292</v>
      </c>
      <c r="P28" s="445" t="s">
        <v>304</v>
      </c>
      <c r="Q28" s="446" t="s">
        <v>242</v>
      </c>
      <c r="R28" s="445" t="s">
        <v>292</v>
      </c>
      <c r="S28" s="446" t="s">
        <v>242</v>
      </c>
      <c r="T28" s="445" t="s">
        <v>292</v>
      </c>
      <c r="U28" s="446" t="s">
        <v>242</v>
      </c>
      <c r="V28" s="445" t="s">
        <v>292</v>
      </c>
      <c r="W28" s="308" t="s">
        <v>242</v>
      </c>
      <c r="X28" s="2040"/>
      <c r="Y28" s="2042"/>
      <c r="Z28" s="2016"/>
      <c r="AA28" s="2028"/>
      <c r="AB28" s="2031"/>
      <c r="AC28" s="2034"/>
      <c r="AD28" s="2014"/>
      <c r="AE28" s="844"/>
      <c r="AF28" s="1983"/>
      <c r="AG28" s="1984"/>
    </row>
    <row r="29" spans="1:39" ht="12" thickBot="1">
      <c r="A29" s="527" t="s">
        <v>305</v>
      </c>
      <c r="B29" s="309">
        <v>1</v>
      </c>
      <c r="C29" s="310">
        <v>2</v>
      </c>
      <c r="D29" s="310">
        <v>3</v>
      </c>
      <c r="E29" s="311"/>
      <c r="F29" s="311">
        <v>4</v>
      </c>
      <c r="G29" s="309">
        <v>5</v>
      </c>
      <c r="H29" s="310">
        <v>6</v>
      </c>
      <c r="I29" s="310">
        <v>7</v>
      </c>
      <c r="J29" s="310">
        <v>8</v>
      </c>
      <c r="K29" s="310">
        <v>9</v>
      </c>
      <c r="L29" s="311">
        <v>10</v>
      </c>
      <c r="M29" s="309">
        <v>11</v>
      </c>
      <c r="N29" s="310">
        <v>12</v>
      </c>
      <c r="O29" s="310">
        <v>13</v>
      </c>
      <c r="P29" s="310">
        <v>14</v>
      </c>
      <c r="Q29" s="310">
        <v>15</v>
      </c>
      <c r="R29" s="310">
        <v>16</v>
      </c>
      <c r="S29" s="310">
        <v>17</v>
      </c>
      <c r="T29" s="310">
        <v>18</v>
      </c>
      <c r="U29" s="310">
        <v>19</v>
      </c>
      <c r="V29" s="310">
        <v>20</v>
      </c>
      <c r="W29" s="311">
        <v>21</v>
      </c>
      <c r="X29" s="309">
        <v>22</v>
      </c>
      <c r="Y29" s="310">
        <v>23</v>
      </c>
      <c r="Z29" s="312"/>
      <c r="AA29" s="309">
        <v>24</v>
      </c>
      <c r="AB29" s="310">
        <v>25</v>
      </c>
      <c r="AC29" s="310">
        <v>26</v>
      </c>
      <c r="AD29" s="528">
        <v>27</v>
      </c>
      <c r="AE29" s="845"/>
      <c r="AF29" s="1983"/>
      <c r="AG29" s="1984"/>
    </row>
    <row r="30" spans="1:39" ht="12" thickBot="1">
      <c r="A30" s="529"/>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530"/>
      <c r="AE30" s="845"/>
      <c r="AF30" s="1983"/>
      <c r="AG30" s="1984"/>
    </row>
    <row r="31" spans="1:39" ht="12" thickBot="1">
      <c r="A31" s="531" t="s">
        <v>306</v>
      </c>
      <c r="B31" s="314"/>
      <c r="C31" s="314"/>
      <c r="D31" s="315"/>
      <c r="E31" s="314"/>
      <c r="F31" s="314"/>
      <c r="G31" s="314"/>
      <c r="H31" s="315"/>
      <c r="I31" s="314"/>
      <c r="J31" s="315"/>
      <c r="K31" s="314"/>
      <c r="L31" s="315"/>
      <c r="M31" s="314"/>
      <c r="N31" s="315"/>
      <c r="O31" s="314"/>
      <c r="P31" s="314"/>
      <c r="Q31" s="315"/>
      <c r="R31" s="314"/>
      <c r="S31" s="315"/>
      <c r="T31" s="314"/>
      <c r="U31" s="315"/>
      <c r="V31" s="314"/>
      <c r="W31" s="315"/>
      <c r="X31" s="314"/>
      <c r="Y31" s="315"/>
      <c r="Z31" s="314"/>
      <c r="AA31" s="314"/>
      <c r="AB31" s="314"/>
      <c r="AC31" s="316"/>
      <c r="AD31" s="532"/>
      <c r="AE31" s="846"/>
      <c r="AF31" s="1983"/>
      <c r="AG31" s="1984"/>
      <c r="AH31" s="300" t="e">
        <f>+AG32+AG33</f>
        <v>#REF!</v>
      </c>
    </row>
    <row r="32" spans="1:39">
      <c r="A32" s="533" t="s">
        <v>244</v>
      </c>
      <c r="B32" s="317" t="e">
        <f>+#REF!</f>
        <v>#REF!</v>
      </c>
      <c r="C32" s="318">
        <f>'[59]КРМД-19'!$C$6</f>
        <v>0</v>
      </c>
      <c r="D32" s="319" t="e">
        <f>+#REF!</f>
        <v>#REF!</v>
      </c>
      <c r="E32" s="320" t="e">
        <f t="shared" ref="E32:E44" si="15">IF(B32=0,0,D32*1000/B32)</f>
        <v>#REF!</v>
      </c>
      <c r="F32" s="321" t="e">
        <f>+#REF!</f>
        <v>#REF!</v>
      </c>
      <c r="G32" s="317" t="e">
        <f>#REF!</f>
        <v>#REF!</v>
      </c>
      <c r="H32" s="887" t="e">
        <f>N38</f>
        <v>#REF!</v>
      </c>
      <c r="I32" s="318" t="e">
        <f>#REF!</f>
        <v>#REF!</v>
      </c>
      <c r="J32" s="322"/>
      <c r="K32" s="318" t="e">
        <f>#REF!</f>
        <v>#REF!</v>
      </c>
      <c r="L32" s="323"/>
      <c r="M32" s="317" t="e">
        <f>#REF!</f>
        <v>#REF!</v>
      </c>
      <c r="N32" s="887" t="e">
        <f>M32*0.46</f>
        <v>#REF!</v>
      </c>
      <c r="O32" s="318" t="e">
        <f>#REF!</f>
        <v>#REF!</v>
      </c>
      <c r="P32" s="320" t="e">
        <f t="shared" ref="P32:P44" si="16">IF(O32=0,0,Q32*1000/O32)</f>
        <v>#REF!</v>
      </c>
      <c r="Q32" s="322"/>
      <c r="R32" s="318" t="e">
        <f>#REF!</f>
        <v>#REF!</v>
      </c>
      <c r="S32" s="322"/>
      <c r="T32" s="318" t="e">
        <f>#REF!</f>
        <v>#REF!</v>
      </c>
      <c r="U32" s="887"/>
      <c r="V32" s="318" t="e">
        <f>#REF!</f>
        <v>#REF!</v>
      </c>
      <c r="W32" s="894"/>
      <c r="X32" s="324" t="e">
        <f>#REF!</f>
        <v>#REF!</v>
      </c>
      <c r="Y32" s="894" t="e">
        <f>X32*0.46</f>
        <v>#REF!</v>
      </c>
      <c r="Z32" s="320" t="e">
        <f t="shared" ref="Z32:Z38" si="17">IF(X32=0,0,Y32*1000/X32)</f>
        <v>#REF!</v>
      </c>
      <c r="AA32" s="317" t="e">
        <f>AD32/366</f>
        <v>#REF!</v>
      </c>
      <c r="AB32" s="318" t="e">
        <f t="shared" ref="AB32:AB44" si="18">IF(AD32=0,0,AC32/AD32*1000000)</f>
        <v>#REF!</v>
      </c>
      <c r="AC32" s="899" t="e">
        <f>Y32+N32+Q32+S32+U32+W32-(D32+H32+J32+L32)</f>
        <v>#REF!</v>
      </c>
      <c r="AD32" s="534" t="e">
        <f>#REF!</f>
        <v>#REF!</v>
      </c>
      <c r="AE32" s="847"/>
      <c r="AF32" s="851">
        <v>0.78</v>
      </c>
      <c r="AG32" s="852" t="e">
        <f>+B32*AF32</f>
        <v>#REF!</v>
      </c>
    </row>
    <row r="33" spans="1:39">
      <c r="A33" s="533" t="s">
        <v>260</v>
      </c>
      <c r="B33" s="317" t="e">
        <f>+#REF!</f>
        <v>#REF!</v>
      </c>
      <c r="C33" s="318">
        <f>'[59]КРМД-19'!$C$34</f>
        <v>0</v>
      </c>
      <c r="D33" s="319" t="e">
        <f>+#REF!</f>
        <v>#REF!</v>
      </c>
      <c r="E33" s="320" t="e">
        <f t="shared" si="15"/>
        <v>#REF!</v>
      </c>
      <c r="F33" s="321" t="e">
        <f>+#REF!</f>
        <v>#REF!</v>
      </c>
      <c r="G33" s="317" t="e">
        <f>#REF!</f>
        <v>#REF!</v>
      </c>
      <c r="H33" s="887" t="e">
        <f>N36</f>
        <v>#REF!</v>
      </c>
      <c r="I33" s="318" t="e">
        <f>#REF!</f>
        <v>#REF!</v>
      </c>
      <c r="J33" s="322"/>
      <c r="K33" s="318" t="e">
        <f>#REF!</f>
        <v>#REF!</v>
      </c>
      <c r="L33" s="323"/>
      <c r="M33" s="317" t="e">
        <f>#REF!</f>
        <v>#REF!</v>
      </c>
      <c r="N33" s="893" t="e">
        <f>M33*0.3</f>
        <v>#REF!</v>
      </c>
      <c r="O33" s="318" t="e">
        <f>#REF!</f>
        <v>#REF!</v>
      </c>
      <c r="P33" s="320" t="e">
        <f t="shared" si="16"/>
        <v>#REF!</v>
      </c>
      <c r="Q33" s="322"/>
      <c r="R33" s="318" t="e">
        <f>#REF!</f>
        <v>#REF!</v>
      </c>
      <c r="S33" s="327"/>
      <c r="T33" s="318" t="e">
        <f>#REF!</f>
        <v>#REF!</v>
      </c>
      <c r="U33" s="887"/>
      <c r="V33" s="318" t="e">
        <f>#REF!</f>
        <v>#REF!</v>
      </c>
      <c r="W33" s="894"/>
      <c r="X33" s="317" t="e">
        <f>#REF!</f>
        <v>#REF!</v>
      </c>
      <c r="Y33" s="894" t="e">
        <f>X33*0.35</f>
        <v>#REF!</v>
      </c>
      <c r="Z33" s="320" t="e">
        <f t="shared" si="17"/>
        <v>#REF!</v>
      </c>
      <c r="AA33" s="317" t="e">
        <f t="shared" ref="AA33:AA44" si="19">AD33/366</f>
        <v>#REF!</v>
      </c>
      <c r="AB33" s="318" t="e">
        <f t="shared" si="18"/>
        <v>#REF!</v>
      </c>
      <c r="AC33" s="899" t="e">
        <f t="shared" ref="AC33:AC45" si="20">Y33+N33+Q33+S33+U33+W33-(D33+H33+J33+L33)</f>
        <v>#REF!</v>
      </c>
      <c r="AD33" s="535" t="e">
        <f>#REF!</f>
        <v>#REF!</v>
      </c>
      <c r="AE33" s="847"/>
      <c r="AF33" s="853">
        <v>1</v>
      </c>
      <c r="AG33" s="852" t="e">
        <f t="shared" ref="AG33:AG44" si="21">+B33*AF33</f>
        <v>#REF!</v>
      </c>
    </row>
    <row r="34" spans="1:39">
      <c r="A34" s="533" t="s">
        <v>258</v>
      </c>
      <c r="B34" s="317" t="e">
        <f>+#REF!</f>
        <v>#REF!</v>
      </c>
      <c r="C34" s="318">
        <f>'[59]КРМД-19'!$C$20</f>
        <v>0</v>
      </c>
      <c r="D34" s="319" t="e">
        <f>+#REF!</f>
        <v>#REF!</v>
      </c>
      <c r="E34" s="320" t="e">
        <f t="shared" si="15"/>
        <v>#REF!</v>
      </c>
      <c r="F34" s="321" t="e">
        <f>+#REF!</f>
        <v>#REF!</v>
      </c>
      <c r="G34" s="317" t="e">
        <f>#REF!</f>
        <v>#REF!</v>
      </c>
      <c r="H34" s="887" t="e">
        <f>N38</f>
        <v>#REF!</v>
      </c>
      <c r="I34" s="318" t="e">
        <f>#REF!</f>
        <v>#REF!</v>
      </c>
      <c r="J34" s="322"/>
      <c r="K34" s="318" t="e">
        <f>#REF!</f>
        <v>#REF!</v>
      </c>
      <c r="L34" s="323"/>
      <c r="M34" s="317" t="e">
        <f>#REF!</f>
        <v>#REF!</v>
      </c>
      <c r="N34" s="887" t="e">
        <f>M34*0.64</f>
        <v>#REF!</v>
      </c>
      <c r="O34" s="318" t="e">
        <f>#REF!</f>
        <v>#REF!</v>
      </c>
      <c r="P34" s="320" t="e">
        <f t="shared" si="16"/>
        <v>#REF!</v>
      </c>
      <c r="Q34" s="322"/>
      <c r="R34" s="318" t="e">
        <f>#REF!</f>
        <v>#REF!</v>
      </c>
      <c r="S34" s="322"/>
      <c r="T34" s="318" t="e">
        <f>#REF!</f>
        <v>#REF!</v>
      </c>
      <c r="U34" s="887"/>
      <c r="V34" s="318" t="e">
        <f>#REF!</f>
        <v>#REF!</v>
      </c>
      <c r="W34" s="894"/>
      <c r="X34" s="317" t="e">
        <f>#REF!</f>
        <v>#REF!</v>
      </c>
      <c r="Y34" s="894" t="e">
        <f>X34*0.4</f>
        <v>#REF!</v>
      </c>
      <c r="Z34" s="320" t="e">
        <f t="shared" si="17"/>
        <v>#REF!</v>
      </c>
      <c r="AA34" s="317" t="e">
        <f>AD34/366</f>
        <v>#REF!</v>
      </c>
      <c r="AB34" s="318" t="e">
        <f t="shared" si="18"/>
        <v>#REF!</v>
      </c>
      <c r="AC34" s="899" t="e">
        <f t="shared" si="20"/>
        <v>#REF!</v>
      </c>
      <c r="AD34" s="535" t="e">
        <f>#REF!</f>
        <v>#REF!</v>
      </c>
      <c r="AE34" s="847"/>
      <c r="AF34" s="851">
        <v>1</v>
      </c>
      <c r="AG34" s="852" t="e">
        <f t="shared" si="21"/>
        <v>#REF!</v>
      </c>
    </row>
    <row r="35" spans="1:39" ht="12" thickBot="1">
      <c r="A35" s="536" t="s">
        <v>261</v>
      </c>
      <c r="B35" s="328" t="e">
        <f>+#REF!</f>
        <v>#REF!</v>
      </c>
      <c r="C35" s="329">
        <f>'[59]КРМД-19'!$C$48</f>
        <v>0</v>
      </c>
      <c r="D35" s="330" t="e">
        <f>+#REF!</f>
        <v>#REF!</v>
      </c>
      <c r="E35" s="331" t="e">
        <f t="shared" si="15"/>
        <v>#REF!</v>
      </c>
      <c r="F35" s="321" t="e">
        <f>+#REF!</f>
        <v>#REF!</v>
      </c>
      <c r="G35" s="328" t="e">
        <f>#REF!</f>
        <v>#REF!</v>
      </c>
      <c r="H35" s="888" t="e">
        <f>N32+N33+N34</f>
        <v>#REF!</v>
      </c>
      <c r="I35" s="329" t="e">
        <f>#REF!</f>
        <v>#REF!</v>
      </c>
      <c r="J35" s="332"/>
      <c r="K35" s="329" t="e">
        <f>#REF!</f>
        <v>#REF!</v>
      </c>
      <c r="L35" s="333"/>
      <c r="M35" s="328" t="e">
        <f>#REF!</f>
        <v>#REF!</v>
      </c>
      <c r="N35" s="888"/>
      <c r="O35" s="329" t="e">
        <f>#REF!</f>
        <v>#REF!</v>
      </c>
      <c r="P35" s="331" t="e">
        <f>IF(O35=0,0,Q35*1000/O35)</f>
        <v>#REF!</v>
      </c>
      <c r="Q35" s="888" t="e">
        <f>O35*0.425</f>
        <v>#REF!</v>
      </c>
      <c r="R35" s="329" t="e">
        <f>#REF!</f>
        <v>#REF!</v>
      </c>
      <c r="S35" s="332"/>
      <c r="T35" s="329" t="e">
        <f>#REF!</f>
        <v>#REF!</v>
      </c>
      <c r="U35" s="888"/>
      <c r="V35" s="329" t="e">
        <f>#REF!</f>
        <v>#REF!</v>
      </c>
      <c r="W35" s="897"/>
      <c r="X35" s="328" t="e">
        <f>#REF!</f>
        <v>#REF!</v>
      </c>
      <c r="Y35" s="897" t="e">
        <f>X35*0.45</f>
        <v>#REF!</v>
      </c>
      <c r="Z35" s="331" t="e">
        <f t="shared" si="17"/>
        <v>#REF!</v>
      </c>
      <c r="AA35" s="328" t="e">
        <f t="shared" si="19"/>
        <v>#REF!</v>
      </c>
      <c r="AB35" s="329" t="e">
        <f t="shared" si="18"/>
        <v>#REF!</v>
      </c>
      <c r="AC35" s="900" t="e">
        <f t="shared" si="20"/>
        <v>#REF!</v>
      </c>
      <c r="AD35" s="537" t="e">
        <f>#REF!</f>
        <v>#REF!</v>
      </c>
      <c r="AE35" s="847"/>
      <c r="AF35" s="851">
        <v>0.5</v>
      </c>
      <c r="AG35" s="852" t="e">
        <f t="shared" si="21"/>
        <v>#REF!</v>
      </c>
      <c r="AH35" s="856" t="e">
        <f>SUM(AG35:AG44)</f>
        <v>#REF!</v>
      </c>
    </row>
    <row r="36" spans="1:39">
      <c r="A36" s="538" t="s">
        <v>263</v>
      </c>
      <c r="B36" s="324" t="e">
        <f>+#REF!</f>
        <v>#REF!</v>
      </c>
      <c r="C36" s="326">
        <f>'[59]КРМД-19'!$C$62</f>
        <v>0</v>
      </c>
      <c r="D36" s="334" t="e">
        <f>+#REF!</f>
        <v>#REF!</v>
      </c>
      <c r="E36" s="325" t="e">
        <f t="shared" si="15"/>
        <v>#REF!</v>
      </c>
      <c r="F36" s="321" t="e">
        <f>+#REF!</f>
        <v>#REF!</v>
      </c>
      <c r="G36" s="324" t="e">
        <f>#REF!</f>
        <v>#REF!</v>
      </c>
      <c r="H36" s="889" t="e">
        <f>N37</f>
        <v>#REF!</v>
      </c>
      <c r="I36" s="326" t="e">
        <f>#REF!</f>
        <v>#REF!</v>
      </c>
      <c r="J36" s="335"/>
      <c r="K36" s="326" t="e">
        <f>#REF!</f>
        <v>#REF!</v>
      </c>
      <c r="L36" s="336"/>
      <c r="M36" s="324" t="e">
        <f>#REF!</f>
        <v>#REF!</v>
      </c>
      <c r="N36" s="889" t="e">
        <f>M36*0.35</f>
        <v>#REF!</v>
      </c>
      <c r="O36" s="326" t="e">
        <f>#REF!</f>
        <v>#REF!</v>
      </c>
      <c r="P36" s="325" t="e">
        <f t="shared" si="16"/>
        <v>#REF!</v>
      </c>
      <c r="Q36" s="889" t="e">
        <f>O36*0.35</f>
        <v>#REF!</v>
      </c>
      <c r="R36" s="326" t="e">
        <f>#REF!</f>
        <v>#REF!</v>
      </c>
      <c r="S36" s="337"/>
      <c r="T36" s="326" t="e">
        <f>#REF!</f>
        <v>#REF!</v>
      </c>
      <c r="U36" s="889"/>
      <c r="V36" s="326" t="e">
        <f>#REF!</f>
        <v>#REF!</v>
      </c>
      <c r="W36" s="896"/>
      <c r="X36" s="324" t="e">
        <f>#REF!</f>
        <v>#REF!</v>
      </c>
      <c r="Y36" s="896" t="e">
        <f>X36*0.35</f>
        <v>#REF!</v>
      </c>
      <c r="Z36" s="325" t="e">
        <f t="shared" si="17"/>
        <v>#REF!</v>
      </c>
      <c r="AA36" s="324" t="e">
        <f t="shared" si="19"/>
        <v>#REF!</v>
      </c>
      <c r="AB36" s="326" t="e">
        <f>IF(AD36=0,0,AC36/AD36*100000)</f>
        <v>#REF!</v>
      </c>
      <c r="AC36" s="898" t="e">
        <f t="shared" si="20"/>
        <v>#REF!</v>
      </c>
      <c r="AD36" s="534" t="e">
        <f>#REF!</f>
        <v>#REF!</v>
      </c>
      <c r="AE36" s="847"/>
      <c r="AF36" s="851">
        <v>0.61</v>
      </c>
      <c r="AG36" s="852" t="e">
        <f t="shared" si="21"/>
        <v>#REF!</v>
      </c>
      <c r="AH36" s="856"/>
    </row>
    <row r="37" spans="1:39">
      <c r="A37" s="533" t="s">
        <v>264</v>
      </c>
      <c r="B37" s="317" t="e">
        <f>+#REF!</f>
        <v>#REF!</v>
      </c>
      <c r="C37" s="318">
        <f>'[59]КРМД-19'!$C$76</f>
        <v>0</v>
      </c>
      <c r="D37" s="319" t="e">
        <f>+#REF!</f>
        <v>#REF!</v>
      </c>
      <c r="E37" s="320" t="e">
        <f t="shared" si="15"/>
        <v>#REF!</v>
      </c>
      <c r="F37" s="321" t="e">
        <f>+#REF!</f>
        <v>#REF!</v>
      </c>
      <c r="G37" s="317" t="e">
        <f>#REF!</f>
        <v>#REF!</v>
      </c>
      <c r="H37" s="887" t="e">
        <f t="shared" ref="H37:H42" si="22">N39</f>
        <v>#REF!</v>
      </c>
      <c r="I37" s="318" t="e">
        <f>#REF!</f>
        <v>#REF!</v>
      </c>
      <c r="J37" s="322"/>
      <c r="K37" s="318" t="e">
        <f>#REF!</f>
        <v>#REF!</v>
      </c>
      <c r="L37" s="323"/>
      <c r="M37" s="317" t="e">
        <f>#REF!</f>
        <v>#REF!</v>
      </c>
      <c r="N37" s="887" t="e">
        <f>M37*0.34</f>
        <v>#REF!</v>
      </c>
      <c r="O37" s="318" t="e">
        <f>#REF!</f>
        <v>#REF!</v>
      </c>
      <c r="P37" s="320" t="e">
        <f t="shared" si="16"/>
        <v>#REF!</v>
      </c>
      <c r="Q37" s="887"/>
      <c r="R37" s="318" t="e">
        <f>#REF!</f>
        <v>#REF!</v>
      </c>
      <c r="S37" s="322"/>
      <c r="T37" s="318" t="e">
        <f>#REF!</f>
        <v>#REF!</v>
      </c>
      <c r="U37" s="887"/>
      <c r="V37" s="318" t="e">
        <f>#REF!</f>
        <v>#REF!</v>
      </c>
      <c r="W37" s="894"/>
      <c r="X37" s="317" t="e">
        <f>#REF!</f>
        <v>#REF!</v>
      </c>
      <c r="Y37" s="894" t="e">
        <f>X37*0.298</f>
        <v>#REF!</v>
      </c>
      <c r="Z37" s="320" t="e">
        <f t="shared" si="17"/>
        <v>#REF!</v>
      </c>
      <c r="AA37" s="317" t="e">
        <f t="shared" si="19"/>
        <v>#REF!</v>
      </c>
      <c r="AB37" s="318" t="e">
        <f>IF(AD37=0,0,AC37/AD37*100000)</f>
        <v>#REF!</v>
      </c>
      <c r="AC37" s="899" t="e">
        <f t="shared" si="20"/>
        <v>#REF!</v>
      </c>
      <c r="AD37" s="535" t="e">
        <f>#REF!</f>
        <v>#REF!</v>
      </c>
      <c r="AE37" s="847"/>
      <c r="AF37" s="851">
        <v>0.57999999999999996</v>
      </c>
      <c r="AG37" s="852" t="e">
        <f t="shared" si="21"/>
        <v>#REF!</v>
      </c>
      <c r="AH37" s="856"/>
    </row>
    <row r="38" spans="1:39">
      <c r="A38" s="533" t="s">
        <v>267</v>
      </c>
      <c r="B38" s="317" t="e">
        <f>+#REF!</f>
        <v>#REF!</v>
      </c>
      <c r="C38" s="318">
        <f>'[59]КРМД-19'!$C$118</f>
        <v>0</v>
      </c>
      <c r="D38" s="319" t="e">
        <f>+#REF!</f>
        <v>#REF!</v>
      </c>
      <c r="E38" s="320" t="e">
        <f t="shared" si="15"/>
        <v>#REF!</v>
      </c>
      <c r="F38" s="321" t="e">
        <f>+#REF!</f>
        <v>#REF!</v>
      </c>
      <c r="G38" s="317" t="e">
        <f>#REF!</f>
        <v>#REF!</v>
      </c>
      <c r="H38" s="887" t="e">
        <f t="shared" si="22"/>
        <v>#REF!</v>
      </c>
      <c r="I38" s="318" t="e">
        <f>#REF!</f>
        <v>#REF!</v>
      </c>
      <c r="J38" s="322"/>
      <c r="K38" s="318" t="e">
        <f>#REF!</f>
        <v>#REF!</v>
      </c>
      <c r="L38" s="323"/>
      <c r="M38" s="317" t="e">
        <f>#REF!</f>
        <v>#REF!</v>
      </c>
      <c r="N38" s="887" t="e">
        <f>M38*0.37</f>
        <v>#REF!</v>
      </c>
      <c r="O38" s="318" t="e">
        <f>#REF!</f>
        <v>#REF!</v>
      </c>
      <c r="P38" s="320" t="e">
        <f t="shared" si="16"/>
        <v>#REF!</v>
      </c>
      <c r="Q38" s="887"/>
      <c r="R38" s="318" t="e">
        <f>#REF!</f>
        <v>#REF!</v>
      </c>
      <c r="S38" s="322"/>
      <c r="T38" s="318" t="e">
        <f>#REF!</f>
        <v>#REF!</v>
      </c>
      <c r="U38" s="887"/>
      <c r="V38" s="318" t="e">
        <f>#REF!</f>
        <v>#REF!</v>
      </c>
      <c r="W38" s="894"/>
      <c r="X38" s="317" t="e">
        <f>#REF!</f>
        <v>#REF!</v>
      </c>
      <c r="Y38" s="894" t="e">
        <f>X38*0.3</f>
        <v>#REF!</v>
      </c>
      <c r="Z38" s="320" t="e">
        <f t="shared" si="17"/>
        <v>#REF!</v>
      </c>
      <c r="AA38" s="317" t="e">
        <f t="shared" si="19"/>
        <v>#REF!</v>
      </c>
      <c r="AB38" s="318" t="e">
        <f t="shared" si="18"/>
        <v>#REF!</v>
      </c>
      <c r="AC38" s="899" t="e">
        <f t="shared" si="20"/>
        <v>#REF!</v>
      </c>
      <c r="AD38" s="535" t="e">
        <f>#REF!</f>
        <v>#REF!</v>
      </c>
      <c r="AE38" s="847"/>
      <c r="AF38" s="851">
        <v>0.57999999999999996</v>
      </c>
      <c r="AG38" s="852" t="e">
        <f t="shared" si="21"/>
        <v>#REF!</v>
      </c>
      <c r="AH38" s="856"/>
    </row>
    <row r="39" spans="1:39">
      <c r="A39" s="533" t="s">
        <v>265</v>
      </c>
      <c r="B39" s="317" t="e">
        <f>+#REF!</f>
        <v>#REF!</v>
      </c>
      <c r="C39" s="318">
        <f>'[59]КРМД-19'!$C$90</f>
        <v>0</v>
      </c>
      <c r="D39" s="319" t="e">
        <f>+#REF!</f>
        <v>#REF!</v>
      </c>
      <c r="E39" s="320" t="e">
        <f t="shared" si="15"/>
        <v>#REF!</v>
      </c>
      <c r="F39" s="321" t="e">
        <f>+#REF!</f>
        <v>#REF!</v>
      </c>
      <c r="G39" s="317" t="e">
        <f>#REF!</f>
        <v>#REF!</v>
      </c>
      <c r="H39" s="887" t="e">
        <f t="shared" si="22"/>
        <v>#REF!</v>
      </c>
      <c r="I39" s="318" t="e">
        <f>#REF!</f>
        <v>#REF!</v>
      </c>
      <c r="J39" s="322"/>
      <c r="K39" s="318" t="e">
        <f>#REF!</f>
        <v>#REF!</v>
      </c>
      <c r="L39" s="323"/>
      <c r="M39" s="317" t="e">
        <f>#REF!</f>
        <v>#REF!</v>
      </c>
      <c r="N39" s="887" t="e">
        <f>M39*0.28</f>
        <v>#REF!</v>
      </c>
      <c r="O39" s="318" t="e">
        <f>#REF!</f>
        <v>#REF!</v>
      </c>
      <c r="P39" s="320" t="e">
        <f t="shared" si="16"/>
        <v>#REF!</v>
      </c>
      <c r="Q39" s="887" t="e">
        <f>O39*0.298</f>
        <v>#REF!</v>
      </c>
      <c r="R39" s="318" t="e">
        <f>#REF!</f>
        <v>#REF!</v>
      </c>
      <c r="S39" s="322"/>
      <c r="T39" s="318" t="e">
        <f>#REF!</f>
        <v>#REF!</v>
      </c>
      <c r="U39" s="887"/>
      <c r="V39" s="318" t="e">
        <f>#REF!</f>
        <v>#REF!</v>
      </c>
      <c r="W39" s="894"/>
      <c r="X39" s="317" t="e">
        <f>#REF!</f>
        <v>#REF!</v>
      </c>
      <c r="Y39" s="894" t="e">
        <f>X39*0.22</f>
        <v>#REF!</v>
      </c>
      <c r="Z39" s="320" t="e">
        <f>IF(X39=0,0,Y39*1000/X39)</f>
        <v>#REF!</v>
      </c>
      <c r="AA39" s="317" t="e">
        <f t="shared" si="19"/>
        <v>#REF!</v>
      </c>
      <c r="AB39" s="318" t="e">
        <f t="shared" si="18"/>
        <v>#REF!</v>
      </c>
      <c r="AC39" s="899" t="e">
        <f t="shared" si="20"/>
        <v>#REF!</v>
      </c>
      <c r="AD39" s="535" t="e">
        <f>#REF!</f>
        <v>#REF!</v>
      </c>
      <c r="AE39" s="847"/>
      <c r="AF39" s="851">
        <v>0.54</v>
      </c>
      <c r="AG39" s="852" t="e">
        <f t="shared" si="21"/>
        <v>#REF!</v>
      </c>
      <c r="AH39" s="856"/>
    </row>
    <row r="40" spans="1:39">
      <c r="A40" s="533" t="s">
        <v>268</v>
      </c>
      <c r="B40" s="317" t="e">
        <f>+#REF!</f>
        <v>#REF!</v>
      </c>
      <c r="C40" s="318">
        <f>'[59]КРМД-19'!$C$132</f>
        <v>0</v>
      </c>
      <c r="D40" s="319" t="e">
        <f>+#REF!</f>
        <v>#REF!</v>
      </c>
      <c r="E40" s="320" t="e">
        <f t="shared" si="15"/>
        <v>#REF!</v>
      </c>
      <c r="F40" s="321" t="e">
        <f>+#REF!</f>
        <v>#REF!</v>
      </c>
      <c r="G40" s="317" t="e">
        <f>#REF!</f>
        <v>#REF!</v>
      </c>
      <c r="H40" s="887" t="e">
        <f t="shared" si="22"/>
        <v>#REF!</v>
      </c>
      <c r="I40" s="318" t="e">
        <f>#REF!</f>
        <v>#REF!</v>
      </c>
      <c r="J40" s="322"/>
      <c r="K40" s="318" t="e">
        <f>#REF!</f>
        <v>#REF!</v>
      </c>
      <c r="L40" s="323"/>
      <c r="M40" s="317" t="e">
        <f>#REF!</f>
        <v>#REF!</v>
      </c>
      <c r="N40" s="887" t="e">
        <f>M40*0.25</f>
        <v>#REF!</v>
      </c>
      <c r="O40" s="318" t="e">
        <f>#REF!</f>
        <v>#REF!</v>
      </c>
      <c r="P40" s="320" t="e">
        <f t="shared" si="16"/>
        <v>#REF!</v>
      </c>
      <c r="Q40" s="887" t="e">
        <f>O40*0.257</f>
        <v>#REF!</v>
      </c>
      <c r="R40" s="318" t="e">
        <f>#REF!</f>
        <v>#REF!</v>
      </c>
      <c r="S40" s="322"/>
      <c r="T40" s="318" t="e">
        <f>#REF!</f>
        <v>#REF!</v>
      </c>
      <c r="U40" s="887"/>
      <c r="V40" s="318" t="e">
        <f>#REF!</f>
        <v>#REF!</v>
      </c>
      <c r="W40" s="894"/>
      <c r="X40" s="317" t="e">
        <f>#REF!</f>
        <v>#REF!</v>
      </c>
      <c r="Y40" s="894" t="e">
        <f>X40*0.257</f>
        <v>#REF!</v>
      </c>
      <c r="Z40" s="320" t="e">
        <f t="shared" ref="Z40:Z45" si="23">IF(X40=0,0,Y40*1000/X40)</f>
        <v>#REF!</v>
      </c>
      <c r="AA40" s="317" t="e">
        <f t="shared" si="19"/>
        <v>#REF!</v>
      </c>
      <c r="AB40" s="318" t="e">
        <f t="shared" si="18"/>
        <v>#REF!</v>
      </c>
      <c r="AC40" s="899" t="e">
        <f t="shared" si="20"/>
        <v>#REF!</v>
      </c>
      <c r="AD40" s="535" t="e">
        <f>#REF!</f>
        <v>#REF!</v>
      </c>
      <c r="AE40" s="847"/>
      <c r="AF40" s="851">
        <v>0.54</v>
      </c>
      <c r="AG40" s="852" t="e">
        <f t="shared" si="21"/>
        <v>#REF!</v>
      </c>
      <c r="AH40" s="856"/>
    </row>
    <row r="41" spans="1:39">
      <c r="A41" s="533" t="s">
        <v>266</v>
      </c>
      <c r="B41" s="317" t="e">
        <f>+#REF!</f>
        <v>#REF!</v>
      </c>
      <c r="C41" s="318">
        <f>'[59]КРМД-19'!$C$104</f>
        <v>0</v>
      </c>
      <c r="D41" s="319" t="e">
        <f>+#REF!</f>
        <v>#REF!</v>
      </c>
      <c r="E41" s="320" t="e">
        <f t="shared" si="15"/>
        <v>#REF!</v>
      </c>
      <c r="F41" s="321" t="e">
        <f>+#REF!</f>
        <v>#REF!</v>
      </c>
      <c r="G41" s="317" t="e">
        <f>#REF!</f>
        <v>#REF!</v>
      </c>
      <c r="H41" s="887" t="e">
        <f t="shared" si="22"/>
        <v>#REF!</v>
      </c>
      <c r="I41" s="318" t="e">
        <f>#REF!</f>
        <v>#REF!</v>
      </c>
      <c r="J41" s="322"/>
      <c r="K41" s="318" t="e">
        <f>#REF!</f>
        <v>#REF!</v>
      </c>
      <c r="L41" s="323"/>
      <c r="M41" s="317" t="e">
        <f>#REF!</f>
        <v>#REF!</v>
      </c>
      <c r="N41" s="887" t="e">
        <f>M41*0.22</f>
        <v>#REF!</v>
      </c>
      <c r="O41" s="318" t="e">
        <f>#REF!</f>
        <v>#REF!</v>
      </c>
      <c r="P41" s="320" t="e">
        <f t="shared" si="16"/>
        <v>#REF!</v>
      </c>
      <c r="Q41" s="887" t="e">
        <f>O41*0.23</f>
        <v>#REF!</v>
      </c>
      <c r="R41" s="318" t="e">
        <f>#REF!</f>
        <v>#REF!</v>
      </c>
      <c r="S41" s="887" t="e">
        <f>R41*0.265</f>
        <v>#REF!</v>
      </c>
      <c r="T41" s="318" t="e">
        <f>#REF!</f>
        <v>#REF!</v>
      </c>
      <c r="U41" s="887"/>
      <c r="V41" s="318" t="e">
        <f>#REF!</f>
        <v>#REF!</v>
      </c>
      <c r="W41" s="894"/>
      <c r="X41" s="317" t="e">
        <f>#REF!</f>
        <v>#REF!</v>
      </c>
      <c r="Y41" s="894" t="e">
        <f>X41*0.13</f>
        <v>#REF!</v>
      </c>
      <c r="Z41" s="320" t="e">
        <f t="shared" si="23"/>
        <v>#REF!</v>
      </c>
      <c r="AA41" s="317" t="e">
        <f t="shared" si="19"/>
        <v>#REF!</v>
      </c>
      <c r="AB41" s="318" t="e">
        <f t="shared" si="18"/>
        <v>#REF!</v>
      </c>
      <c r="AC41" s="899" t="e">
        <f t="shared" si="20"/>
        <v>#REF!</v>
      </c>
      <c r="AD41" s="535" t="e">
        <f>#REF!</f>
        <v>#REF!</v>
      </c>
      <c r="AE41" s="847"/>
      <c r="AF41" s="851">
        <v>0.35</v>
      </c>
      <c r="AG41" s="852" t="e">
        <f t="shared" si="21"/>
        <v>#REF!</v>
      </c>
      <c r="AH41" s="856"/>
    </row>
    <row r="42" spans="1:39">
      <c r="A42" s="533" t="s">
        <v>269</v>
      </c>
      <c r="B42" s="317" t="e">
        <f>+#REF!</f>
        <v>#REF!</v>
      </c>
      <c r="C42" s="318">
        <f>'[59]КРМД-19'!$C$146</f>
        <v>0</v>
      </c>
      <c r="D42" s="319" t="e">
        <f>+#REF!</f>
        <v>#REF!</v>
      </c>
      <c r="E42" s="320" t="e">
        <f t="shared" si="15"/>
        <v>#REF!</v>
      </c>
      <c r="F42" s="321" t="e">
        <f>+#REF!</f>
        <v>#REF!</v>
      </c>
      <c r="G42" s="317" t="e">
        <f>#REF!</f>
        <v>#REF!</v>
      </c>
      <c r="H42" s="887" t="e">
        <f t="shared" si="22"/>
        <v>#REF!</v>
      </c>
      <c r="I42" s="318" t="e">
        <f>#REF!</f>
        <v>#REF!</v>
      </c>
      <c r="J42" s="322"/>
      <c r="K42" s="318" t="e">
        <f>#REF!</f>
        <v>#REF!</v>
      </c>
      <c r="L42" s="323"/>
      <c r="M42" s="317" t="e">
        <f>#REF!</f>
        <v>#REF!</v>
      </c>
      <c r="N42" s="887" t="e">
        <f>M42*0.24</f>
        <v>#REF!</v>
      </c>
      <c r="O42" s="318" t="e">
        <f>#REF!</f>
        <v>#REF!</v>
      </c>
      <c r="P42" s="320" t="e">
        <f t="shared" si="16"/>
        <v>#REF!</v>
      </c>
      <c r="Q42" s="887" t="e">
        <f>O42*0.25</f>
        <v>#REF!</v>
      </c>
      <c r="R42" s="318" t="e">
        <f>#REF!</f>
        <v>#REF!</v>
      </c>
      <c r="S42" s="887"/>
      <c r="T42" s="318" t="e">
        <f>#REF!</f>
        <v>#REF!</v>
      </c>
      <c r="U42" s="887"/>
      <c r="V42" s="318" t="e">
        <f>#REF!</f>
        <v>#REF!</v>
      </c>
      <c r="W42" s="894"/>
      <c r="X42" s="317" t="e">
        <f>#REF!</f>
        <v>#REF!</v>
      </c>
      <c r="Y42" s="894" t="e">
        <f>X42*0.15</f>
        <v>#REF!</v>
      </c>
      <c r="Z42" s="320" t="e">
        <f t="shared" si="23"/>
        <v>#REF!</v>
      </c>
      <c r="AA42" s="317" t="e">
        <f>AD42/366</f>
        <v>#REF!</v>
      </c>
      <c r="AB42" s="318" t="e">
        <f t="shared" si="18"/>
        <v>#REF!</v>
      </c>
      <c r="AC42" s="899" t="e">
        <f>Y42+N42+Q42+S42+U42+W42-(D42+H42+J42+L42)</f>
        <v>#REF!</v>
      </c>
      <c r="AD42" s="535" t="e">
        <f>#REF!</f>
        <v>#REF!</v>
      </c>
      <c r="AE42" s="847"/>
      <c r="AF42" s="851">
        <v>0.35</v>
      </c>
      <c r="AG42" s="852" t="e">
        <f t="shared" si="21"/>
        <v>#REF!</v>
      </c>
      <c r="AH42" s="856"/>
    </row>
    <row r="43" spans="1:39" ht="22.5">
      <c r="A43" s="539" t="s">
        <v>270</v>
      </c>
      <c r="B43" s="317"/>
      <c r="C43" s="318">
        <f>'[59]КРМД-19'!$C$160</f>
        <v>0</v>
      </c>
      <c r="D43" s="319">
        <v>0</v>
      </c>
      <c r="E43" s="320">
        <f t="shared" si="15"/>
        <v>0</v>
      </c>
      <c r="F43" s="321" t="e">
        <f>+#REF!</f>
        <v>#REF!</v>
      </c>
      <c r="G43" s="317" t="e">
        <f>#REF!</f>
        <v>#REF!</v>
      </c>
      <c r="H43" s="887" t="e">
        <f>G43*0.022</f>
        <v>#REF!</v>
      </c>
      <c r="I43" s="318" t="e">
        <f>#REF!</f>
        <v>#REF!</v>
      </c>
      <c r="J43" s="322"/>
      <c r="K43" s="318" t="e">
        <f>#REF!</f>
        <v>#REF!</v>
      </c>
      <c r="L43" s="323"/>
      <c r="M43" s="317" t="e">
        <f>#REF!</f>
        <v>#REF!</v>
      </c>
      <c r="N43" s="887" t="e">
        <f>M43*0.13</f>
        <v>#REF!</v>
      </c>
      <c r="O43" s="318" t="e">
        <f>#REF!</f>
        <v>#REF!</v>
      </c>
      <c r="P43" s="320" t="e">
        <f t="shared" si="16"/>
        <v>#REF!</v>
      </c>
      <c r="Q43" s="887"/>
      <c r="R43" s="318" t="e">
        <f>#REF!</f>
        <v>#REF!</v>
      </c>
      <c r="S43" s="887" t="e">
        <f>R43*0.07</f>
        <v>#REF!</v>
      </c>
      <c r="T43" s="318" t="e">
        <f>#REF!</f>
        <v>#REF!</v>
      </c>
      <c r="U43" s="887" t="e">
        <f>T43*0.15</f>
        <v>#REF!</v>
      </c>
      <c r="V43" s="318" t="e">
        <f>#REF!</f>
        <v>#REF!</v>
      </c>
      <c r="W43" s="894" t="e">
        <f>V43*0.03</f>
        <v>#REF!</v>
      </c>
      <c r="X43" s="317" t="e">
        <f>#REF!</f>
        <v>#REF!</v>
      </c>
      <c r="Y43" s="894" t="e">
        <f>X43*0.1</f>
        <v>#REF!</v>
      </c>
      <c r="Z43" s="320" t="e">
        <f t="shared" si="23"/>
        <v>#REF!</v>
      </c>
      <c r="AA43" s="317" t="e">
        <f t="shared" si="19"/>
        <v>#REF!</v>
      </c>
      <c r="AB43" s="318" t="e">
        <f t="shared" si="18"/>
        <v>#REF!</v>
      </c>
      <c r="AC43" s="899" t="e">
        <f t="shared" si="20"/>
        <v>#REF!</v>
      </c>
      <c r="AD43" s="535" t="e">
        <f>#REF!</f>
        <v>#REF!</v>
      </c>
      <c r="AE43" s="847"/>
      <c r="AF43" s="851">
        <v>0.125</v>
      </c>
      <c r="AG43" s="852">
        <f t="shared" si="21"/>
        <v>0</v>
      </c>
      <c r="AH43" s="856"/>
      <c r="AI43" s="1982" t="s">
        <v>77</v>
      </c>
      <c r="AJ43" s="1982"/>
      <c r="AK43" s="1982"/>
      <c r="AL43" s="1982"/>
      <c r="AM43" s="1982"/>
    </row>
    <row r="44" spans="1:39" ht="23.25" thickBot="1">
      <c r="A44" s="540" t="s">
        <v>272</v>
      </c>
      <c r="B44" s="339"/>
      <c r="C44" s="340">
        <f>'[59]КРМД-19'!$C$174</f>
        <v>0</v>
      </c>
      <c r="D44" s="341">
        <v>0</v>
      </c>
      <c r="E44" s="342">
        <f t="shared" si="15"/>
        <v>0</v>
      </c>
      <c r="F44" s="321" t="e">
        <f>+#REF!</f>
        <v>#REF!</v>
      </c>
      <c r="G44" s="339" t="e">
        <f>#REF!</f>
        <v>#REF!</v>
      </c>
      <c r="H44" s="890" t="e">
        <f>G44*0.022</f>
        <v>#REF!</v>
      </c>
      <c r="I44" s="340" t="e">
        <f>#REF!</f>
        <v>#REF!</v>
      </c>
      <c r="J44" s="343"/>
      <c r="K44" s="340" t="e">
        <f>#REF!</f>
        <v>#REF!</v>
      </c>
      <c r="L44" s="344"/>
      <c r="M44" s="339" t="e">
        <f>#REF!</f>
        <v>#REF!</v>
      </c>
      <c r="N44" s="890" t="e">
        <f>M44*0.15</f>
        <v>#REF!</v>
      </c>
      <c r="O44" s="340" t="e">
        <f>#REF!</f>
        <v>#REF!</v>
      </c>
      <c r="P44" s="342" t="e">
        <f t="shared" si="16"/>
        <v>#REF!</v>
      </c>
      <c r="Q44" s="890" t="e">
        <f>O44*0.12</f>
        <v>#REF!</v>
      </c>
      <c r="R44" s="340" t="e">
        <f>#REF!</f>
        <v>#REF!</v>
      </c>
      <c r="S44" s="890" t="e">
        <f>+R44*0.09</f>
        <v>#REF!</v>
      </c>
      <c r="T44" s="340" t="e">
        <f>#REF!</f>
        <v>#REF!</v>
      </c>
      <c r="U44" s="890" t="e">
        <f>T44*0.15</f>
        <v>#REF!</v>
      </c>
      <c r="V44" s="340" t="e">
        <f>#REF!</f>
        <v>#REF!</v>
      </c>
      <c r="W44" s="895" t="e">
        <f>V44*0.03</f>
        <v>#REF!</v>
      </c>
      <c r="X44" s="339" t="e">
        <f>#REF!</f>
        <v>#REF!</v>
      </c>
      <c r="Y44" s="895" t="e">
        <f>X44*0.11</f>
        <v>#REF!</v>
      </c>
      <c r="Z44" s="342" t="e">
        <f t="shared" si="23"/>
        <v>#REF!</v>
      </c>
      <c r="AA44" s="339" t="e">
        <f t="shared" si="19"/>
        <v>#REF!</v>
      </c>
      <c r="AB44" s="340" t="e">
        <f t="shared" si="18"/>
        <v>#REF!</v>
      </c>
      <c r="AC44" s="901" t="e">
        <f>Y44+N44+Q44+S44+U44+W44-(D44+H44+J44+L44)</f>
        <v>#REF!</v>
      </c>
      <c r="AD44" s="541" t="e">
        <f>#REF!</f>
        <v>#REF!</v>
      </c>
      <c r="AE44" s="847"/>
      <c r="AF44" s="851">
        <v>0.125</v>
      </c>
      <c r="AG44" s="852">
        <f t="shared" si="21"/>
        <v>0</v>
      </c>
      <c r="AH44" s="856"/>
    </row>
    <row r="45" spans="1:39" ht="12" thickBot="1">
      <c r="A45" s="542" t="s">
        <v>238</v>
      </c>
      <c r="B45" s="543" t="e">
        <f>SUM(B32:B44)</f>
        <v>#REF!</v>
      </c>
      <c r="C45" s="544">
        <f>SUM(C32:C44)</f>
        <v>0</v>
      </c>
      <c r="D45" s="545" t="e">
        <f>SUM(D32:D44)</f>
        <v>#REF!</v>
      </c>
      <c r="E45" s="546" t="e">
        <f>IF(B45=0,0,D45*1000/B45)</f>
        <v>#REF!</v>
      </c>
      <c r="F45" s="547" t="e">
        <f t="shared" ref="F45:N45" si="24">SUM(F32:F44)</f>
        <v>#REF!</v>
      </c>
      <c r="G45" s="543" t="e">
        <f t="shared" si="24"/>
        <v>#REF!</v>
      </c>
      <c r="H45" s="891" t="e">
        <f t="shared" si="24"/>
        <v>#REF!</v>
      </c>
      <c r="I45" s="544" t="e">
        <f t="shared" si="24"/>
        <v>#REF!</v>
      </c>
      <c r="J45" s="891">
        <f t="shared" si="24"/>
        <v>0</v>
      </c>
      <c r="K45" s="544" t="e">
        <f t="shared" si="24"/>
        <v>#REF!</v>
      </c>
      <c r="L45" s="892">
        <f t="shared" si="24"/>
        <v>0</v>
      </c>
      <c r="M45" s="543" t="e">
        <f t="shared" si="24"/>
        <v>#REF!</v>
      </c>
      <c r="N45" s="891" t="e">
        <f t="shared" si="24"/>
        <v>#REF!</v>
      </c>
      <c r="O45" s="544" t="e">
        <f>SUM(O32:O44)</f>
        <v>#REF!</v>
      </c>
      <c r="P45" s="546" t="e">
        <f>IF(O45=0,0,Q45*1000/O45)</f>
        <v>#REF!</v>
      </c>
      <c r="Q45" s="891" t="e">
        <f t="shared" ref="Q45:W45" si="25">SUM(Q32:Q44)</f>
        <v>#REF!</v>
      </c>
      <c r="R45" s="544" t="e">
        <f t="shared" si="25"/>
        <v>#REF!</v>
      </c>
      <c r="S45" s="891" t="e">
        <f t="shared" si="25"/>
        <v>#REF!</v>
      </c>
      <c r="T45" s="544" t="e">
        <f t="shared" si="25"/>
        <v>#REF!</v>
      </c>
      <c r="U45" s="891" t="e">
        <f t="shared" si="25"/>
        <v>#REF!</v>
      </c>
      <c r="V45" s="544" t="e">
        <f t="shared" si="25"/>
        <v>#REF!</v>
      </c>
      <c r="W45" s="892" t="e">
        <f t="shared" si="25"/>
        <v>#REF!</v>
      </c>
      <c r="X45" s="543" t="e">
        <f>SUM(X32:X44)</f>
        <v>#REF!</v>
      </c>
      <c r="Y45" s="892" t="e">
        <f>SUM(Y32:Y44)</f>
        <v>#REF!</v>
      </c>
      <c r="Z45" s="546" t="e">
        <f t="shared" si="23"/>
        <v>#REF!</v>
      </c>
      <c r="AA45" s="543" t="e">
        <f>SUM(AA32:AA44)</f>
        <v>#REF!</v>
      </c>
      <c r="AB45" s="544">
        <f>IF(AD46=0,0,AC46/AD46*1000000)</f>
        <v>0</v>
      </c>
      <c r="AC45" s="891" t="e">
        <f t="shared" si="20"/>
        <v>#REF!</v>
      </c>
      <c r="AD45" s="548" t="e">
        <f>SUM(AD32:AD44)</f>
        <v>#REF!</v>
      </c>
      <c r="AE45" s="847"/>
      <c r="AG45" s="345" t="e">
        <f>SUM(AG32:AG44)</f>
        <v>#REF!</v>
      </c>
    </row>
    <row r="46" spans="1:39" ht="12" thickTop="1">
      <c r="AD46" s="347"/>
      <c r="AE46" s="848"/>
    </row>
    <row r="47" spans="1:39">
      <c r="J47" s="300"/>
      <c r="L47" s="525" t="s">
        <v>283</v>
      </c>
      <c r="AC47" s="1981"/>
      <c r="AD47" s="1981"/>
      <c r="AE47" s="849"/>
    </row>
    <row r="48" spans="1:39" ht="12" thickBot="1">
      <c r="A48" s="301">
        <f>+A25+1</f>
        <v>2021</v>
      </c>
      <c r="D48" s="305"/>
      <c r="AD48" s="1293" t="s">
        <v>539</v>
      </c>
    </row>
    <row r="49" spans="1:34" ht="11.1" customHeight="1" thickTop="1">
      <c r="A49" s="1985" t="s">
        <v>284</v>
      </c>
      <c r="B49" s="1988" t="s">
        <v>285</v>
      </c>
      <c r="C49" s="1989"/>
      <c r="D49" s="1989"/>
      <c r="E49" s="1990"/>
      <c r="F49" s="1990"/>
      <c r="G49" s="1991" t="s">
        <v>245</v>
      </c>
      <c r="H49" s="1992"/>
      <c r="I49" s="1992"/>
      <c r="J49" s="1992"/>
      <c r="K49" s="1992"/>
      <c r="L49" s="1993"/>
      <c r="M49" s="1991" t="s">
        <v>250</v>
      </c>
      <c r="N49" s="1998"/>
      <c r="O49" s="1998"/>
      <c r="P49" s="1998"/>
      <c r="Q49" s="1998"/>
      <c r="R49" s="1998"/>
      <c r="S49" s="1998"/>
      <c r="T49" s="1998"/>
      <c r="U49" s="1998"/>
      <c r="V49" s="1998"/>
      <c r="W49" s="1999"/>
      <c r="X49" s="1988" t="s">
        <v>286</v>
      </c>
      <c r="Y49" s="1989"/>
      <c r="Z49" s="2000"/>
      <c r="AA49" s="1973" t="s">
        <v>287</v>
      </c>
      <c r="AB49" s="1975" t="s">
        <v>288</v>
      </c>
      <c r="AC49" s="1977" t="s">
        <v>289</v>
      </c>
      <c r="AD49" s="1979" t="s">
        <v>290</v>
      </c>
      <c r="AE49" s="844"/>
      <c r="AF49" s="1983" t="s">
        <v>408</v>
      </c>
      <c r="AG49" s="1984" t="s">
        <v>291</v>
      </c>
    </row>
    <row r="50" spans="1:34" ht="55.5" customHeight="1">
      <c r="A50" s="1986"/>
      <c r="B50" s="2001" t="s">
        <v>292</v>
      </c>
      <c r="C50" s="2002"/>
      <c r="D50" s="1995" t="s">
        <v>242</v>
      </c>
      <c r="E50" s="1976" t="s">
        <v>293</v>
      </c>
      <c r="F50" s="2005" t="s">
        <v>294</v>
      </c>
      <c r="G50" s="2001" t="s">
        <v>295</v>
      </c>
      <c r="H50" s="2007"/>
      <c r="I50" s="2008" t="s">
        <v>296</v>
      </c>
      <c r="J50" s="2008"/>
      <c r="K50" s="2008" t="s">
        <v>297</v>
      </c>
      <c r="L50" s="2009"/>
      <c r="M50" s="1994" t="s">
        <v>298</v>
      </c>
      <c r="N50" s="2008"/>
      <c r="O50" s="2008" t="s">
        <v>299</v>
      </c>
      <c r="P50" s="2008"/>
      <c r="Q50" s="2008"/>
      <c r="R50" s="2008" t="s">
        <v>300</v>
      </c>
      <c r="S50" s="2008"/>
      <c r="T50" s="2010" t="s">
        <v>301</v>
      </c>
      <c r="U50" s="2010"/>
      <c r="V50" s="2008" t="s">
        <v>302</v>
      </c>
      <c r="W50" s="2009"/>
      <c r="X50" s="1994" t="s">
        <v>292</v>
      </c>
      <c r="Y50" s="1995" t="s">
        <v>242</v>
      </c>
      <c r="Z50" s="1996" t="s">
        <v>293</v>
      </c>
      <c r="AA50" s="1974"/>
      <c r="AB50" s="1976"/>
      <c r="AC50" s="1978"/>
      <c r="AD50" s="1980"/>
      <c r="AE50" s="844"/>
      <c r="AF50" s="1983"/>
      <c r="AG50" s="1984"/>
    </row>
    <row r="51" spans="1:34" ht="45">
      <c r="A51" s="1987"/>
      <c r="B51" s="447" t="s">
        <v>83</v>
      </c>
      <c r="C51" s="448" t="s">
        <v>303</v>
      </c>
      <c r="D51" s="2003"/>
      <c r="E51" s="2004"/>
      <c r="F51" s="2006"/>
      <c r="G51" s="447" t="s">
        <v>292</v>
      </c>
      <c r="H51" s="446" t="s">
        <v>242</v>
      </c>
      <c r="I51" s="445" t="s">
        <v>292</v>
      </c>
      <c r="J51" s="446" t="s">
        <v>242</v>
      </c>
      <c r="K51" s="445" t="s">
        <v>292</v>
      </c>
      <c r="L51" s="308" t="s">
        <v>242</v>
      </c>
      <c r="M51" s="447" t="s">
        <v>292</v>
      </c>
      <c r="N51" s="446" t="s">
        <v>242</v>
      </c>
      <c r="O51" s="445" t="s">
        <v>292</v>
      </c>
      <c r="P51" s="445" t="s">
        <v>304</v>
      </c>
      <c r="Q51" s="446" t="s">
        <v>242</v>
      </c>
      <c r="R51" s="445" t="s">
        <v>292</v>
      </c>
      <c r="S51" s="446" t="s">
        <v>242</v>
      </c>
      <c r="T51" s="445" t="s">
        <v>292</v>
      </c>
      <c r="U51" s="446" t="s">
        <v>242</v>
      </c>
      <c r="V51" s="445" t="s">
        <v>292</v>
      </c>
      <c r="W51" s="308" t="s">
        <v>242</v>
      </c>
      <c r="X51" s="1994"/>
      <c r="Y51" s="1995"/>
      <c r="Z51" s="1997"/>
      <c r="AA51" s="1974"/>
      <c r="AB51" s="1976"/>
      <c r="AC51" s="1978"/>
      <c r="AD51" s="1980"/>
      <c r="AE51" s="844"/>
      <c r="AF51" s="1983"/>
      <c r="AG51" s="1984"/>
    </row>
    <row r="52" spans="1:34" ht="12" thickBot="1">
      <c r="A52" s="527" t="s">
        <v>305</v>
      </c>
      <c r="B52" s="309">
        <v>1</v>
      </c>
      <c r="C52" s="310">
        <v>2</v>
      </c>
      <c r="D52" s="310">
        <v>3</v>
      </c>
      <c r="E52" s="311"/>
      <c r="F52" s="311">
        <v>4</v>
      </c>
      <c r="G52" s="309">
        <v>5</v>
      </c>
      <c r="H52" s="310">
        <v>6</v>
      </c>
      <c r="I52" s="310">
        <v>7</v>
      </c>
      <c r="J52" s="310">
        <v>8</v>
      </c>
      <c r="K52" s="310">
        <v>9</v>
      </c>
      <c r="L52" s="311">
        <v>10</v>
      </c>
      <c r="M52" s="309">
        <v>11</v>
      </c>
      <c r="N52" s="310">
        <v>12</v>
      </c>
      <c r="O52" s="310">
        <v>13</v>
      </c>
      <c r="P52" s="310">
        <v>14</v>
      </c>
      <c r="Q52" s="310">
        <v>15</v>
      </c>
      <c r="R52" s="310">
        <v>16</v>
      </c>
      <c r="S52" s="310">
        <v>17</v>
      </c>
      <c r="T52" s="310">
        <v>18</v>
      </c>
      <c r="U52" s="310">
        <v>19</v>
      </c>
      <c r="V52" s="310">
        <v>20</v>
      </c>
      <c r="W52" s="311">
        <v>21</v>
      </c>
      <c r="X52" s="309">
        <v>22</v>
      </c>
      <c r="Y52" s="310">
        <v>23</v>
      </c>
      <c r="Z52" s="312"/>
      <c r="AA52" s="309">
        <v>24</v>
      </c>
      <c r="AB52" s="310">
        <v>25</v>
      </c>
      <c r="AC52" s="310">
        <v>26</v>
      </c>
      <c r="AD52" s="528">
        <v>27</v>
      </c>
      <c r="AE52" s="845"/>
      <c r="AF52" s="1983"/>
      <c r="AG52" s="1984"/>
    </row>
    <row r="53" spans="1:34" ht="12" thickBot="1">
      <c r="A53" s="529"/>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530"/>
      <c r="AE53" s="845"/>
      <c r="AF53" s="1983"/>
      <c r="AG53" s="1984"/>
    </row>
    <row r="54" spans="1:34" ht="12" thickBot="1">
      <c r="A54" s="531" t="s">
        <v>306</v>
      </c>
      <c r="B54" s="314"/>
      <c r="C54" s="314"/>
      <c r="D54" s="315"/>
      <c r="E54" s="314"/>
      <c r="F54" s="314"/>
      <c r="G54" s="314"/>
      <c r="H54" s="315"/>
      <c r="I54" s="314"/>
      <c r="J54" s="315"/>
      <c r="K54" s="314"/>
      <c r="L54" s="315"/>
      <c r="M54" s="314"/>
      <c r="N54" s="315"/>
      <c r="O54" s="314"/>
      <c r="P54" s="314"/>
      <c r="Q54" s="315"/>
      <c r="R54" s="314"/>
      <c r="S54" s="902"/>
      <c r="T54" s="314"/>
      <c r="U54" s="315"/>
      <c r="V54" s="314"/>
      <c r="W54" s="315"/>
      <c r="X54" s="314"/>
      <c r="Y54" s="315"/>
      <c r="Z54" s="314"/>
      <c r="AA54" s="314"/>
      <c r="AB54" s="314"/>
      <c r="AC54" s="316"/>
      <c r="AD54" s="532"/>
      <c r="AE54" s="846"/>
      <c r="AF54" s="1983"/>
      <c r="AG54" s="1984"/>
      <c r="AH54" s="300" t="e">
        <f>+AG55+AG56</f>
        <v>#REF!</v>
      </c>
    </row>
    <row r="55" spans="1:34">
      <c r="A55" s="533" t="s">
        <v>244</v>
      </c>
      <c r="B55" s="317" t="e">
        <f>+#REF!</f>
        <v>#REF!</v>
      </c>
      <c r="C55" s="318">
        <f>'[59]КРМД-20'!$C$6</f>
        <v>0</v>
      </c>
      <c r="D55" s="348" t="e">
        <f t="shared" ref="D55:D67" si="26">Y32</f>
        <v>#REF!</v>
      </c>
      <c r="E55" s="320" t="e">
        <f t="shared" ref="E55:E68" si="27">IF(B55=0,0,D55*1000/B55)</f>
        <v>#REF!</v>
      </c>
      <c r="F55" s="321" t="e">
        <f>+#REF!</f>
        <v>#REF!</v>
      </c>
      <c r="G55" s="317" t="e">
        <f>#REF!</f>
        <v>#REF!</v>
      </c>
      <c r="H55" s="887"/>
      <c r="I55" s="318" t="e">
        <f>#REF!</f>
        <v>#REF!</v>
      </c>
      <c r="J55" s="887"/>
      <c r="K55" s="318" t="e">
        <f>#REF!</f>
        <v>#REF!</v>
      </c>
      <c r="L55" s="894"/>
      <c r="M55" s="317" t="e">
        <f>#REF!</f>
        <v>#REF!</v>
      </c>
      <c r="N55" s="887"/>
      <c r="O55" s="318" t="e">
        <f>#REF!</f>
        <v>#REF!</v>
      </c>
      <c r="P55" s="320" t="e">
        <f t="shared" ref="P55:P67" si="28">IF(O55=0,0,Q55*1000/O55)</f>
        <v>#REF!</v>
      </c>
      <c r="Q55" s="887"/>
      <c r="R55" s="318" t="e">
        <f>#REF!</f>
        <v>#REF!</v>
      </c>
      <c r="S55" s="887"/>
      <c r="T55" s="318" t="e">
        <f>#REF!</f>
        <v>#REF!</v>
      </c>
      <c r="U55" s="887"/>
      <c r="V55" s="318" t="e">
        <f>#REF!</f>
        <v>#REF!</v>
      </c>
      <c r="W55" s="894"/>
      <c r="X55" s="324" t="e">
        <f>#REF!</f>
        <v>#REF!</v>
      </c>
      <c r="Y55" s="894" t="e">
        <f>X55*0.46</f>
        <v>#REF!</v>
      </c>
      <c r="Z55" s="320" t="e">
        <f t="shared" ref="Z55:Z61" si="29">IF(X55=0,0,Y55*1000/X55)</f>
        <v>#REF!</v>
      </c>
      <c r="AA55" s="317" t="e">
        <f t="shared" ref="AA55:AA67" si="30">AD55/366</f>
        <v>#REF!</v>
      </c>
      <c r="AB55" s="318" t="e">
        <f>IF(AD55=0,0,AC55/AD55*1000000)</f>
        <v>#REF!</v>
      </c>
      <c r="AC55" s="899" t="e">
        <f t="shared" ref="AC55:AC66" si="31">Y55+N55+Q55+S55+U55+W55-(D55+H55+J55+L55)</f>
        <v>#REF!</v>
      </c>
      <c r="AD55" s="534" t="e">
        <f>#REF!</f>
        <v>#REF!</v>
      </c>
      <c r="AE55" s="847"/>
      <c r="AF55" s="851">
        <v>0.78</v>
      </c>
      <c r="AG55" s="852" t="e">
        <f>+B55*AF55</f>
        <v>#REF!</v>
      </c>
    </row>
    <row r="56" spans="1:34">
      <c r="A56" s="533" t="s">
        <v>260</v>
      </c>
      <c r="B56" s="317" t="e">
        <f>+#REF!</f>
        <v>#REF!</v>
      </c>
      <c r="C56" s="318">
        <f>'[59]КРМД-20'!$C$34</f>
        <v>0</v>
      </c>
      <c r="D56" s="348" t="e">
        <f t="shared" si="26"/>
        <v>#REF!</v>
      </c>
      <c r="E56" s="320" t="e">
        <f t="shared" si="27"/>
        <v>#REF!</v>
      </c>
      <c r="F56" s="321" t="e">
        <f>+#REF!</f>
        <v>#REF!</v>
      </c>
      <c r="G56" s="317" t="e">
        <f>#REF!</f>
        <v>#REF!</v>
      </c>
      <c r="H56" s="887" t="e">
        <f>N59</f>
        <v>#REF!</v>
      </c>
      <c r="I56" s="318" t="e">
        <f>#REF!</f>
        <v>#REF!</v>
      </c>
      <c r="J56" s="887"/>
      <c r="K56" s="318" t="e">
        <f>#REF!</f>
        <v>#REF!</v>
      </c>
      <c r="L56" s="894"/>
      <c r="M56" s="317" t="e">
        <f>#REF!</f>
        <v>#REF!</v>
      </c>
      <c r="N56" s="893" t="e">
        <f>M56*0.42</f>
        <v>#REF!</v>
      </c>
      <c r="O56" s="318" t="e">
        <f>#REF!</f>
        <v>#REF!</v>
      </c>
      <c r="P56" s="320" t="e">
        <f t="shared" si="28"/>
        <v>#REF!</v>
      </c>
      <c r="Q56" s="887"/>
      <c r="R56" s="318" t="e">
        <f>#REF!</f>
        <v>#REF!</v>
      </c>
      <c r="S56" s="887"/>
      <c r="T56" s="318" t="e">
        <f>#REF!</f>
        <v>#REF!</v>
      </c>
      <c r="U56" s="887"/>
      <c r="V56" s="318" t="e">
        <f>#REF!</f>
        <v>#REF!</v>
      </c>
      <c r="W56" s="894"/>
      <c r="X56" s="317" t="e">
        <f>#REF!</f>
        <v>#REF!</v>
      </c>
      <c r="Y56" s="894" t="e">
        <f>X56*0.35</f>
        <v>#REF!</v>
      </c>
      <c r="Z56" s="320" t="e">
        <f t="shared" si="29"/>
        <v>#REF!</v>
      </c>
      <c r="AA56" s="317" t="e">
        <f t="shared" si="30"/>
        <v>#REF!</v>
      </c>
      <c r="AB56" s="318" t="e">
        <f>IF(AD56=0,0,AC56/AD56*1000000)</f>
        <v>#REF!</v>
      </c>
      <c r="AC56" s="899" t="e">
        <f t="shared" si="31"/>
        <v>#REF!</v>
      </c>
      <c r="AD56" s="535" t="e">
        <f>#REF!</f>
        <v>#REF!</v>
      </c>
      <c r="AE56" s="847"/>
      <c r="AF56" s="853">
        <v>1</v>
      </c>
      <c r="AG56" s="852" t="e">
        <f t="shared" ref="AG56:AG67" si="32">+B56*AF56</f>
        <v>#REF!</v>
      </c>
    </row>
    <row r="57" spans="1:34" ht="20.25" customHeight="1">
      <c r="A57" s="533" t="s">
        <v>258</v>
      </c>
      <c r="B57" s="317" t="e">
        <f>+#REF!</f>
        <v>#REF!</v>
      </c>
      <c r="C57" s="318">
        <f>'[59]КРМД-20'!$C$20</f>
        <v>0</v>
      </c>
      <c r="D57" s="348" t="e">
        <f t="shared" si="26"/>
        <v>#REF!</v>
      </c>
      <c r="E57" s="320" t="e">
        <f t="shared" si="27"/>
        <v>#REF!</v>
      </c>
      <c r="F57" s="321" t="e">
        <f>+#REF!</f>
        <v>#REF!</v>
      </c>
      <c r="G57" s="317" t="e">
        <f>#REF!</f>
        <v>#REF!</v>
      </c>
      <c r="H57" s="887">
        <f>N61</f>
        <v>0</v>
      </c>
      <c r="I57" s="318" t="e">
        <f>#REF!</f>
        <v>#REF!</v>
      </c>
      <c r="J57" s="887"/>
      <c r="K57" s="318" t="e">
        <f>#REF!</f>
        <v>#REF!</v>
      </c>
      <c r="L57" s="894"/>
      <c r="M57" s="317" t="e">
        <f>#REF!</f>
        <v>#REF!</v>
      </c>
      <c r="N57" s="887" t="e">
        <f>M57*0.64</f>
        <v>#REF!</v>
      </c>
      <c r="O57" s="318" t="e">
        <f>#REF!</f>
        <v>#REF!</v>
      </c>
      <c r="P57" s="320" t="e">
        <f t="shared" si="28"/>
        <v>#REF!</v>
      </c>
      <c r="Q57" s="887"/>
      <c r="R57" s="318" t="e">
        <f>#REF!</f>
        <v>#REF!</v>
      </c>
      <c r="S57" s="887"/>
      <c r="T57" s="318" t="e">
        <f>#REF!</f>
        <v>#REF!</v>
      </c>
      <c r="U57" s="887"/>
      <c r="V57" s="318" t="e">
        <f>#REF!</f>
        <v>#REF!</v>
      </c>
      <c r="W57" s="894"/>
      <c r="X57" s="317" t="e">
        <f>#REF!</f>
        <v>#REF!</v>
      </c>
      <c r="Y57" s="894" t="e">
        <f>X57*0.4</f>
        <v>#REF!</v>
      </c>
      <c r="Z57" s="320" t="e">
        <f t="shared" si="29"/>
        <v>#REF!</v>
      </c>
      <c r="AA57" s="317" t="e">
        <f t="shared" si="30"/>
        <v>#REF!</v>
      </c>
      <c r="AB57" s="318" t="e">
        <f>IF(AD57=0,0,AC57/AD57*1000000)</f>
        <v>#REF!</v>
      </c>
      <c r="AC57" s="899" t="e">
        <f t="shared" si="31"/>
        <v>#REF!</v>
      </c>
      <c r="AD57" s="535" t="e">
        <f>#REF!</f>
        <v>#REF!</v>
      </c>
      <c r="AE57" s="847"/>
      <c r="AF57" s="851">
        <v>1</v>
      </c>
      <c r="AG57" s="852" t="e">
        <f t="shared" si="32"/>
        <v>#REF!</v>
      </c>
    </row>
    <row r="58" spans="1:34" ht="12" thickBot="1">
      <c r="A58" s="536" t="s">
        <v>261</v>
      </c>
      <c r="B58" s="328" t="e">
        <f>+#REF!</f>
        <v>#REF!</v>
      </c>
      <c r="C58" s="329">
        <f>'[59]КРМД-20'!$C$48</f>
        <v>0</v>
      </c>
      <c r="D58" s="349" t="e">
        <f t="shared" si="26"/>
        <v>#REF!</v>
      </c>
      <c r="E58" s="331" t="e">
        <f t="shared" si="27"/>
        <v>#REF!</v>
      </c>
      <c r="F58" s="321" t="e">
        <f>+#REF!</f>
        <v>#REF!</v>
      </c>
      <c r="G58" s="328" t="e">
        <f>#REF!</f>
        <v>#REF!</v>
      </c>
      <c r="H58" s="888" t="e">
        <f>N55+N56+N57</f>
        <v>#REF!</v>
      </c>
      <c r="I58" s="329" t="e">
        <f>#REF!</f>
        <v>#REF!</v>
      </c>
      <c r="J58" s="888"/>
      <c r="K58" s="329" t="e">
        <f>#REF!</f>
        <v>#REF!</v>
      </c>
      <c r="L58" s="897"/>
      <c r="M58" s="328" t="e">
        <f>#REF!</f>
        <v>#REF!</v>
      </c>
      <c r="N58" s="888"/>
      <c r="O58" s="329" t="e">
        <f>#REF!</f>
        <v>#REF!</v>
      </c>
      <c r="P58" s="331" t="e">
        <f t="shared" si="28"/>
        <v>#REF!</v>
      </c>
      <c r="Q58" s="888" t="e">
        <f>O58*0.425</f>
        <v>#REF!</v>
      </c>
      <c r="R58" s="329" t="e">
        <f>#REF!</f>
        <v>#REF!</v>
      </c>
      <c r="S58" s="888"/>
      <c r="T58" s="329" t="e">
        <f>#REF!</f>
        <v>#REF!</v>
      </c>
      <c r="U58" s="888"/>
      <c r="V58" s="329" t="e">
        <f>#REF!</f>
        <v>#REF!</v>
      </c>
      <c r="W58" s="897"/>
      <c r="X58" s="328" t="e">
        <f>#REF!</f>
        <v>#REF!</v>
      </c>
      <c r="Y58" s="897" t="e">
        <f>X58*0.45</f>
        <v>#REF!</v>
      </c>
      <c r="Z58" s="331" t="e">
        <f t="shared" si="29"/>
        <v>#REF!</v>
      </c>
      <c r="AA58" s="328" t="e">
        <f t="shared" si="30"/>
        <v>#REF!</v>
      </c>
      <c r="AB58" s="329" t="e">
        <f>IF(AD58=0,0,AC58/AD58*1000000)</f>
        <v>#REF!</v>
      </c>
      <c r="AC58" s="900" t="e">
        <f t="shared" si="31"/>
        <v>#REF!</v>
      </c>
      <c r="AD58" s="537" t="e">
        <f>#REF!</f>
        <v>#REF!</v>
      </c>
      <c r="AE58" s="847"/>
      <c r="AF58" s="851">
        <v>0.5</v>
      </c>
      <c r="AG58" s="852" t="e">
        <f t="shared" si="32"/>
        <v>#REF!</v>
      </c>
      <c r="AH58" s="856" t="e">
        <f>SUM(AG58:AG67)</f>
        <v>#REF!</v>
      </c>
    </row>
    <row r="59" spans="1:34">
      <c r="A59" s="538" t="s">
        <v>263</v>
      </c>
      <c r="B59" s="324" t="e">
        <f>+#REF!</f>
        <v>#REF!</v>
      </c>
      <c r="C59" s="326">
        <f>'[59]КРМД-20'!$C$62</f>
        <v>0</v>
      </c>
      <c r="D59" s="350" t="e">
        <f t="shared" si="26"/>
        <v>#REF!</v>
      </c>
      <c r="E59" s="325" t="e">
        <f t="shared" si="27"/>
        <v>#REF!</v>
      </c>
      <c r="F59" s="321" t="e">
        <f>+#REF!</f>
        <v>#REF!</v>
      </c>
      <c r="G59" s="324" t="e">
        <f>#REF!</f>
        <v>#REF!</v>
      </c>
      <c r="H59" s="889" t="e">
        <f>N60</f>
        <v>#REF!</v>
      </c>
      <c r="I59" s="326" t="e">
        <f>#REF!</f>
        <v>#REF!</v>
      </c>
      <c r="J59" s="889"/>
      <c r="K59" s="326" t="e">
        <f>#REF!</f>
        <v>#REF!</v>
      </c>
      <c r="L59" s="896"/>
      <c r="M59" s="324" t="e">
        <f>#REF!</f>
        <v>#REF!</v>
      </c>
      <c r="N59" s="889" t="e">
        <f>M59*0.35</f>
        <v>#REF!</v>
      </c>
      <c r="O59" s="326" t="e">
        <f>#REF!</f>
        <v>#REF!</v>
      </c>
      <c r="P59" s="325" t="e">
        <f t="shared" si="28"/>
        <v>#REF!</v>
      </c>
      <c r="Q59" s="889" t="e">
        <f>O59*0.35</f>
        <v>#REF!</v>
      </c>
      <c r="R59" s="326" t="e">
        <f>#REF!</f>
        <v>#REF!</v>
      </c>
      <c r="S59" s="889"/>
      <c r="T59" s="326" t="e">
        <f>#REF!</f>
        <v>#REF!</v>
      </c>
      <c r="U59" s="889"/>
      <c r="V59" s="326" t="e">
        <f>#REF!</f>
        <v>#REF!</v>
      </c>
      <c r="W59" s="896"/>
      <c r="X59" s="324" t="e">
        <f>#REF!</f>
        <v>#REF!</v>
      </c>
      <c r="Y59" s="896" t="e">
        <f>X59*0.35</f>
        <v>#REF!</v>
      </c>
      <c r="Z59" s="325" t="e">
        <f t="shared" si="29"/>
        <v>#REF!</v>
      </c>
      <c r="AA59" s="324" t="e">
        <f t="shared" si="30"/>
        <v>#REF!</v>
      </c>
      <c r="AB59" s="326" t="e">
        <f>IF(AD59=0,0,AC59/AD59*1000000)</f>
        <v>#REF!</v>
      </c>
      <c r="AC59" s="898" t="e">
        <f t="shared" si="31"/>
        <v>#REF!</v>
      </c>
      <c r="AD59" s="534" t="e">
        <f>#REF!</f>
        <v>#REF!</v>
      </c>
      <c r="AE59" s="847"/>
      <c r="AF59" s="851">
        <v>0.61</v>
      </c>
      <c r="AG59" s="852" t="e">
        <f t="shared" si="32"/>
        <v>#REF!</v>
      </c>
      <c r="AH59" s="856"/>
    </row>
    <row r="60" spans="1:34">
      <c r="A60" s="533" t="s">
        <v>264</v>
      </c>
      <c r="B60" s="317" t="e">
        <f>+#REF!</f>
        <v>#REF!</v>
      </c>
      <c r="C60" s="318">
        <f>'[59]КРМД-20'!$C$76</f>
        <v>0</v>
      </c>
      <c r="D60" s="348" t="e">
        <f t="shared" si="26"/>
        <v>#REF!</v>
      </c>
      <c r="E60" s="320" t="e">
        <f t="shared" si="27"/>
        <v>#REF!</v>
      </c>
      <c r="F60" s="321" t="e">
        <f>+#REF!</f>
        <v>#REF!</v>
      </c>
      <c r="G60" s="317" t="e">
        <f>#REF!</f>
        <v>#REF!</v>
      </c>
      <c r="H60" s="887" t="e">
        <f t="shared" ref="H60:H65" si="33">N62</f>
        <v>#REF!</v>
      </c>
      <c r="I60" s="318" t="e">
        <f>#REF!</f>
        <v>#REF!</v>
      </c>
      <c r="J60" s="887"/>
      <c r="K60" s="318" t="e">
        <f>#REF!</f>
        <v>#REF!</v>
      </c>
      <c r="L60" s="894"/>
      <c r="M60" s="317" t="e">
        <f>#REF!</f>
        <v>#REF!</v>
      </c>
      <c r="N60" s="887" t="e">
        <f>M60*0.298</f>
        <v>#REF!</v>
      </c>
      <c r="O60" s="318" t="e">
        <f>#REF!</f>
        <v>#REF!</v>
      </c>
      <c r="P60" s="320" t="e">
        <f t="shared" si="28"/>
        <v>#REF!</v>
      </c>
      <c r="Q60" s="887"/>
      <c r="R60" s="318" t="e">
        <f>#REF!</f>
        <v>#REF!</v>
      </c>
      <c r="S60" s="887"/>
      <c r="T60" s="318" t="e">
        <f>#REF!</f>
        <v>#REF!</v>
      </c>
      <c r="U60" s="887"/>
      <c r="V60" s="318" t="e">
        <f>#REF!</f>
        <v>#REF!</v>
      </c>
      <c r="W60" s="894"/>
      <c r="X60" s="317" t="e">
        <f>#REF!</f>
        <v>#REF!</v>
      </c>
      <c r="Y60" s="894" t="e">
        <f>X60*0.28</f>
        <v>#REF!</v>
      </c>
      <c r="Z60" s="320" t="e">
        <f t="shared" si="29"/>
        <v>#REF!</v>
      </c>
      <c r="AA60" s="317" t="e">
        <f t="shared" si="30"/>
        <v>#REF!</v>
      </c>
      <c r="AB60" s="318" t="e">
        <f>IF(AD60=0,0,AC60/AD60*100000)</f>
        <v>#REF!</v>
      </c>
      <c r="AC60" s="899" t="e">
        <f t="shared" si="31"/>
        <v>#REF!</v>
      </c>
      <c r="AD60" s="535" t="e">
        <f>#REF!</f>
        <v>#REF!</v>
      </c>
      <c r="AE60" s="847"/>
      <c r="AF60" s="851">
        <v>0.57999999999999996</v>
      </c>
      <c r="AG60" s="852" t="e">
        <f t="shared" si="32"/>
        <v>#REF!</v>
      </c>
      <c r="AH60" s="856"/>
    </row>
    <row r="61" spans="1:34">
      <c r="A61" s="533" t="s">
        <v>267</v>
      </c>
      <c r="B61" s="317" t="e">
        <f>+#REF!</f>
        <v>#REF!</v>
      </c>
      <c r="C61" s="318">
        <f>'[59]КРМД-20'!$C$118</f>
        <v>0</v>
      </c>
      <c r="D61" s="348" t="e">
        <f t="shared" si="26"/>
        <v>#REF!</v>
      </c>
      <c r="E61" s="320" t="e">
        <f t="shared" si="27"/>
        <v>#REF!</v>
      </c>
      <c r="F61" s="321" t="e">
        <f>+#REF!</f>
        <v>#REF!</v>
      </c>
      <c r="G61" s="317" t="e">
        <f>#REF!</f>
        <v>#REF!</v>
      </c>
      <c r="H61" s="887" t="e">
        <f t="shared" si="33"/>
        <v>#REF!</v>
      </c>
      <c r="I61" s="318" t="e">
        <f>#REF!</f>
        <v>#REF!</v>
      </c>
      <c r="J61" s="887"/>
      <c r="K61" s="318" t="e">
        <f>#REF!</f>
        <v>#REF!</v>
      </c>
      <c r="L61" s="894"/>
      <c r="M61" s="317" t="e">
        <f>#REF!</f>
        <v>#REF!</v>
      </c>
      <c r="N61" s="887"/>
      <c r="O61" s="318" t="e">
        <f>#REF!</f>
        <v>#REF!</v>
      </c>
      <c r="P61" s="320" t="e">
        <f t="shared" si="28"/>
        <v>#REF!</v>
      </c>
      <c r="Q61" s="887"/>
      <c r="R61" s="318" t="e">
        <f>#REF!</f>
        <v>#REF!</v>
      </c>
      <c r="S61" s="887"/>
      <c r="T61" s="318" t="e">
        <f>#REF!</f>
        <v>#REF!</v>
      </c>
      <c r="U61" s="887"/>
      <c r="V61" s="318" t="e">
        <f>#REF!</f>
        <v>#REF!</v>
      </c>
      <c r="W61" s="894"/>
      <c r="X61" s="317" t="e">
        <f>#REF!</f>
        <v>#REF!</v>
      </c>
      <c r="Y61" s="894" t="e">
        <f>X61*0.3</f>
        <v>#REF!</v>
      </c>
      <c r="Z61" s="320" t="e">
        <f t="shared" si="29"/>
        <v>#REF!</v>
      </c>
      <c r="AA61" s="317" t="e">
        <f t="shared" si="30"/>
        <v>#REF!</v>
      </c>
      <c r="AB61" s="318" t="e">
        <f t="shared" ref="AB61:AB67" si="34">IF(AD61=0,0,AC61/AD61*1000000)</f>
        <v>#REF!</v>
      </c>
      <c r="AC61" s="899" t="e">
        <f t="shared" si="31"/>
        <v>#REF!</v>
      </c>
      <c r="AD61" s="535" t="e">
        <f>#REF!</f>
        <v>#REF!</v>
      </c>
      <c r="AE61" s="847"/>
      <c r="AF61" s="851">
        <v>0.57999999999999996</v>
      </c>
      <c r="AG61" s="852" t="e">
        <f t="shared" si="32"/>
        <v>#REF!</v>
      </c>
      <c r="AH61" s="856"/>
    </row>
    <row r="62" spans="1:34">
      <c r="A62" s="533" t="s">
        <v>265</v>
      </c>
      <c r="B62" s="317" t="e">
        <f>+#REF!</f>
        <v>#REF!</v>
      </c>
      <c r="C62" s="318">
        <f>'[59]КРМД-20'!$C$90</f>
        <v>0</v>
      </c>
      <c r="D62" s="348" t="e">
        <f t="shared" si="26"/>
        <v>#REF!</v>
      </c>
      <c r="E62" s="320" t="e">
        <f t="shared" si="27"/>
        <v>#REF!</v>
      </c>
      <c r="F62" s="321" t="e">
        <f>+#REF!</f>
        <v>#REF!</v>
      </c>
      <c r="G62" s="317" t="e">
        <f>#REF!</f>
        <v>#REF!</v>
      </c>
      <c r="H62" s="887" t="e">
        <f t="shared" si="33"/>
        <v>#REF!</v>
      </c>
      <c r="I62" s="318" t="e">
        <f>#REF!</f>
        <v>#REF!</v>
      </c>
      <c r="J62" s="887"/>
      <c r="K62" s="318" t="e">
        <f>#REF!</f>
        <v>#REF!</v>
      </c>
      <c r="L62" s="894"/>
      <c r="M62" s="317" t="e">
        <f>#REF!</f>
        <v>#REF!</v>
      </c>
      <c r="N62" s="887" t="e">
        <f>M62*0.28</f>
        <v>#REF!</v>
      </c>
      <c r="O62" s="318" t="e">
        <f>#REF!</f>
        <v>#REF!</v>
      </c>
      <c r="P62" s="320" t="e">
        <f t="shared" si="28"/>
        <v>#REF!</v>
      </c>
      <c r="Q62" s="887" t="e">
        <f>O62*0.298</f>
        <v>#REF!</v>
      </c>
      <c r="R62" s="318" t="e">
        <f>#REF!</f>
        <v>#REF!</v>
      </c>
      <c r="S62" s="887" t="e">
        <f>+R62*0.3</f>
        <v>#REF!</v>
      </c>
      <c r="T62" s="318" t="e">
        <f>#REF!</f>
        <v>#REF!</v>
      </c>
      <c r="U62" s="887"/>
      <c r="V62" s="318" t="e">
        <f>#REF!</f>
        <v>#REF!</v>
      </c>
      <c r="W62" s="894"/>
      <c r="X62" s="317" t="e">
        <f>#REF!</f>
        <v>#REF!</v>
      </c>
      <c r="Y62" s="894" t="e">
        <f>X62*0.265</f>
        <v>#REF!</v>
      </c>
      <c r="Z62" s="320" t="e">
        <f>IF(X62=0,0,Y62*1000/X62)</f>
        <v>#REF!</v>
      </c>
      <c r="AA62" s="317" t="e">
        <f t="shared" si="30"/>
        <v>#REF!</v>
      </c>
      <c r="AB62" s="318" t="e">
        <f t="shared" si="34"/>
        <v>#REF!</v>
      </c>
      <c r="AC62" s="899" t="e">
        <f t="shared" si="31"/>
        <v>#REF!</v>
      </c>
      <c r="AD62" s="535" t="e">
        <f>#REF!</f>
        <v>#REF!</v>
      </c>
      <c r="AE62" s="847"/>
      <c r="AF62" s="851">
        <v>0.54</v>
      </c>
      <c r="AG62" s="852" t="e">
        <f t="shared" si="32"/>
        <v>#REF!</v>
      </c>
      <c r="AH62" s="856"/>
    </row>
    <row r="63" spans="1:34">
      <c r="A63" s="533" t="s">
        <v>268</v>
      </c>
      <c r="B63" s="317" t="e">
        <f>+#REF!</f>
        <v>#REF!</v>
      </c>
      <c r="C63" s="318">
        <f>'[59]КРМД-20'!$C$132</f>
        <v>0</v>
      </c>
      <c r="D63" s="348" t="e">
        <f t="shared" si="26"/>
        <v>#REF!</v>
      </c>
      <c r="E63" s="320" t="e">
        <f t="shared" si="27"/>
        <v>#REF!</v>
      </c>
      <c r="F63" s="321" t="e">
        <f>+#REF!</f>
        <v>#REF!</v>
      </c>
      <c r="G63" s="317" t="e">
        <f>#REF!</f>
        <v>#REF!</v>
      </c>
      <c r="H63" s="887" t="e">
        <f t="shared" si="33"/>
        <v>#REF!</v>
      </c>
      <c r="I63" s="318" t="e">
        <f>#REF!</f>
        <v>#REF!</v>
      </c>
      <c r="J63" s="887"/>
      <c r="K63" s="318" t="e">
        <f>#REF!</f>
        <v>#REF!</v>
      </c>
      <c r="L63" s="894"/>
      <c r="M63" s="317" t="e">
        <f>#REF!</f>
        <v>#REF!</v>
      </c>
      <c r="N63" s="887" t="e">
        <f>M63*0.25</f>
        <v>#REF!</v>
      </c>
      <c r="O63" s="318" t="e">
        <f>#REF!</f>
        <v>#REF!</v>
      </c>
      <c r="P63" s="320" t="e">
        <f t="shared" si="28"/>
        <v>#REF!</v>
      </c>
      <c r="Q63" s="887" t="e">
        <f>O63*0.257</f>
        <v>#REF!</v>
      </c>
      <c r="R63" s="318" t="e">
        <f>#REF!</f>
        <v>#REF!</v>
      </c>
      <c r="S63" s="887"/>
      <c r="T63" s="318" t="e">
        <f>#REF!</f>
        <v>#REF!</v>
      </c>
      <c r="U63" s="887"/>
      <c r="V63" s="318" t="e">
        <f>#REF!</f>
        <v>#REF!</v>
      </c>
      <c r="W63" s="894"/>
      <c r="X63" s="317" t="e">
        <f>#REF!</f>
        <v>#REF!</v>
      </c>
      <c r="Y63" s="894" t="e">
        <f>X63*0.257</f>
        <v>#REF!</v>
      </c>
      <c r="Z63" s="320" t="e">
        <f t="shared" ref="Z63:Z68" si="35">IF(X63=0,0,Y63*1000/X63)</f>
        <v>#REF!</v>
      </c>
      <c r="AA63" s="317" t="e">
        <f t="shared" si="30"/>
        <v>#REF!</v>
      </c>
      <c r="AB63" s="318" t="e">
        <f t="shared" si="34"/>
        <v>#REF!</v>
      </c>
      <c r="AC63" s="899" t="e">
        <f t="shared" si="31"/>
        <v>#REF!</v>
      </c>
      <c r="AD63" s="535" t="e">
        <f>#REF!</f>
        <v>#REF!</v>
      </c>
      <c r="AE63" s="847"/>
      <c r="AF63" s="851">
        <v>0.54</v>
      </c>
      <c r="AG63" s="852" t="e">
        <f t="shared" si="32"/>
        <v>#REF!</v>
      </c>
      <c r="AH63" s="856"/>
    </row>
    <row r="64" spans="1:34">
      <c r="A64" s="533" t="s">
        <v>266</v>
      </c>
      <c r="B64" s="317" t="e">
        <f>+#REF!</f>
        <v>#REF!</v>
      </c>
      <c r="C64" s="318">
        <f>'[59]КРМД-20'!$C$104</f>
        <v>0</v>
      </c>
      <c r="D64" s="348" t="e">
        <f t="shared" si="26"/>
        <v>#REF!</v>
      </c>
      <c r="E64" s="320" t="e">
        <f t="shared" si="27"/>
        <v>#REF!</v>
      </c>
      <c r="F64" s="321" t="e">
        <f>+#REF!</f>
        <v>#REF!</v>
      </c>
      <c r="G64" s="317" t="e">
        <f>#REF!</f>
        <v>#REF!</v>
      </c>
      <c r="H64" s="887" t="e">
        <f t="shared" si="33"/>
        <v>#REF!</v>
      </c>
      <c r="I64" s="318" t="e">
        <f>#REF!</f>
        <v>#REF!</v>
      </c>
      <c r="J64" s="887"/>
      <c r="K64" s="318" t="e">
        <f>#REF!</f>
        <v>#REF!</v>
      </c>
      <c r="L64" s="894"/>
      <c r="M64" s="317" t="e">
        <f>#REF!</f>
        <v>#REF!</v>
      </c>
      <c r="N64" s="887" t="e">
        <f>M64*0.22</f>
        <v>#REF!</v>
      </c>
      <c r="O64" s="318" t="e">
        <f>#REF!</f>
        <v>#REF!</v>
      </c>
      <c r="P64" s="320" t="e">
        <f t="shared" si="28"/>
        <v>#REF!</v>
      </c>
      <c r="Q64" s="887" t="e">
        <f>O64*0.23</f>
        <v>#REF!</v>
      </c>
      <c r="R64" s="318" t="e">
        <f>#REF!</f>
        <v>#REF!</v>
      </c>
      <c r="S64" s="887" t="e">
        <f>R64*0.265</f>
        <v>#REF!</v>
      </c>
      <c r="T64" s="318" t="e">
        <f>#REF!</f>
        <v>#REF!</v>
      </c>
      <c r="U64" s="887" t="e">
        <f>T64*0.155</f>
        <v>#REF!</v>
      </c>
      <c r="V64" s="318" t="e">
        <f>#REF!</f>
        <v>#REF!</v>
      </c>
      <c r="W64" s="894"/>
      <c r="X64" s="317" t="e">
        <f>#REF!</f>
        <v>#REF!</v>
      </c>
      <c r="Y64" s="894" t="e">
        <f>X64*0.13</f>
        <v>#REF!</v>
      </c>
      <c r="Z64" s="320" t="e">
        <f t="shared" si="35"/>
        <v>#REF!</v>
      </c>
      <c r="AA64" s="317" t="e">
        <f t="shared" si="30"/>
        <v>#REF!</v>
      </c>
      <c r="AB64" s="318" t="e">
        <f t="shared" si="34"/>
        <v>#REF!</v>
      </c>
      <c r="AC64" s="899" t="e">
        <f t="shared" si="31"/>
        <v>#REF!</v>
      </c>
      <c r="AD64" s="535" t="e">
        <f>#REF!</f>
        <v>#REF!</v>
      </c>
      <c r="AE64" s="847"/>
      <c r="AF64" s="851">
        <v>0.35</v>
      </c>
      <c r="AG64" s="852" t="e">
        <f t="shared" si="32"/>
        <v>#REF!</v>
      </c>
      <c r="AH64" s="856"/>
    </row>
    <row r="65" spans="1:39">
      <c r="A65" s="533" t="s">
        <v>269</v>
      </c>
      <c r="B65" s="317" t="e">
        <f>+#REF!</f>
        <v>#REF!</v>
      </c>
      <c r="C65" s="318">
        <f>'[59]КРМД-20'!$C$146</f>
        <v>0</v>
      </c>
      <c r="D65" s="348" t="e">
        <f t="shared" si="26"/>
        <v>#REF!</v>
      </c>
      <c r="E65" s="320" t="e">
        <f t="shared" si="27"/>
        <v>#REF!</v>
      </c>
      <c r="F65" s="321" t="e">
        <f>+#REF!</f>
        <v>#REF!</v>
      </c>
      <c r="G65" s="317" t="e">
        <f>#REF!</f>
        <v>#REF!</v>
      </c>
      <c r="H65" s="887" t="e">
        <f t="shared" si="33"/>
        <v>#REF!</v>
      </c>
      <c r="I65" s="318" t="e">
        <f>#REF!</f>
        <v>#REF!</v>
      </c>
      <c r="J65" s="887"/>
      <c r="K65" s="318" t="e">
        <f>#REF!</f>
        <v>#REF!</v>
      </c>
      <c r="L65" s="894"/>
      <c r="M65" s="317" t="e">
        <f>#REF!</f>
        <v>#REF!</v>
      </c>
      <c r="N65" s="887" t="e">
        <f>M65*0.24</f>
        <v>#REF!</v>
      </c>
      <c r="O65" s="318" t="e">
        <f>#REF!</f>
        <v>#REF!</v>
      </c>
      <c r="P65" s="320" t="e">
        <f t="shared" si="28"/>
        <v>#REF!</v>
      </c>
      <c r="Q65" s="887" t="e">
        <f>O65*0.25</f>
        <v>#REF!</v>
      </c>
      <c r="R65" s="318" t="e">
        <f>#REF!</f>
        <v>#REF!</v>
      </c>
      <c r="S65" s="887"/>
      <c r="T65" s="318" t="e">
        <f>#REF!</f>
        <v>#REF!</v>
      </c>
      <c r="U65" s="887"/>
      <c r="V65" s="318" t="e">
        <f>#REF!</f>
        <v>#REF!</v>
      </c>
      <c r="W65" s="894"/>
      <c r="X65" s="317" t="e">
        <f>#REF!</f>
        <v>#REF!</v>
      </c>
      <c r="Y65" s="894" t="e">
        <f>X65*0.15</f>
        <v>#REF!</v>
      </c>
      <c r="Z65" s="320" t="e">
        <f t="shared" si="35"/>
        <v>#REF!</v>
      </c>
      <c r="AA65" s="317" t="e">
        <f t="shared" si="30"/>
        <v>#REF!</v>
      </c>
      <c r="AB65" s="318" t="e">
        <f t="shared" si="34"/>
        <v>#REF!</v>
      </c>
      <c r="AC65" s="899" t="e">
        <f t="shared" si="31"/>
        <v>#REF!</v>
      </c>
      <c r="AD65" s="535" t="e">
        <f>#REF!</f>
        <v>#REF!</v>
      </c>
      <c r="AE65" s="847"/>
      <c r="AF65" s="851">
        <v>0.35</v>
      </c>
      <c r="AG65" s="852" t="e">
        <f t="shared" si="32"/>
        <v>#REF!</v>
      </c>
      <c r="AH65" s="856"/>
    </row>
    <row r="66" spans="1:39" ht="22.5">
      <c r="A66" s="539" t="s">
        <v>270</v>
      </c>
      <c r="B66" s="317"/>
      <c r="C66" s="318">
        <f>'[59]КРМД-20'!$C$160</f>
        <v>0</v>
      </c>
      <c r="D66" s="348" t="e">
        <f t="shared" si="26"/>
        <v>#REF!</v>
      </c>
      <c r="E66" s="320">
        <f t="shared" si="27"/>
        <v>0</v>
      </c>
      <c r="F66" s="321" t="e">
        <f>+#REF!</f>
        <v>#REF!</v>
      </c>
      <c r="G66" s="317" t="e">
        <f>#REF!</f>
        <v>#REF!</v>
      </c>
      <c r="H66" s="887" t="e">
        <f>G66*0.022</f>
        <v>#REF!</v>
      </c>
      <c r="I66" s="318" t="e">
        <f>#REF!</f>
        <v>#REF!</v>
      </c>
      <c r="J66" s="887"/>
      <c r="K66" s="318" t="e">
        <f>#REF!</f>
        <v>#REF!</v>
      </c>
      <c r="L66" s="894"/>
      <c r="M66" s="317" t="e">
        <f>#REF!</f>
        <v>#REF!</v>
      </c>
      <c r="N66" s="887" t="e">
        <f>M66*0.13</f>
        <v>#REF!</v>
      </c>
      <c r="O66" s="318" t="e">
        <f>#REF!</f>
        <v>#REF!</v>
      </c>
      <c r="P66" s="320" t="e">
        <f t="shared" si="28"/>
        <v>#REF!</v>
      </c>
      <c r="Q66" s="887"/>
      <c r="R66" s="318" t="e">
        <f>#REF!</f>
        <v>#REF!</v>
      </c>
      <c r="S66" s="887" t="e">
        <f>R66*0.08</f>
        <v>#REF!</v>
      </c>
      <c r="T66" s="318" t="e">
        <f>#REF!</f>
        <v>#REF!</v>
      </c>
      <c r="U66" s="887" t="e">
        <f>T66*0.15</f>
        <v>#REF!</v>
      </c>
      <c r="V66" s="318" t="e">
        <f>#REF!</f>
        <v>#REF!</v>
      </c>
      <c r="W66" s="894" t="e">
        <f>V66*0.03</f>
        <v>#REF!</v>
      </c>
      <c r="X66" s="317" t="e">
        <f>#REF!</f>
        <v>#REF!</v>
      </c>
      <c r="Y66" s="894" t="e">
        <f>X66*0.1</f>
        <v>#REF!</v>
      </c>
      <c r="Z66" s="320" t="e">
        <f t="shared" si="35"/>
        <v>#REF!</v>
      </c>
      <c r="AA66" s="317" t="e">
        <f t="shared" si="30"/>
        <v>#REF!</v>
      </c>
      <c r="AB66" s="318" t="e">
        <f t="shared" si="34"/>
        <v>#REF!</v>
      </c>
      <c r="AC66" s="899" t="e">
        <f t="shared" si="31"/>
        <v>#REF!</v>
      </c>
      <c r="AD66" s="535" t="e">
        <f>#REF!</f>
        <v>#REF!</v>
      </c>
      <c r="AE66" s="847"/>
      <c r="AF66" s="851">
        <v>0.125</v>
      </c>
      <c r="AG66" s="852">
        <f t="shared" si="32"/>
        <v>0</v>
      </c>
      <c r="AH66" s="856"/>
      <c r="AI66" s="1982" t="s">
        <v>77</v>
      </c>
      <c r="AJ66" s="1982"/>
      <c r="AK66" s="1982"/>
      <c r="AL66" s="1982"/>
      <c r="AM66" s="1982"/>
    </row>
    <row r="67" spans="1:39" ht="23.25" thickBot="1">
      <c r="A67" s="540" t="s">
        <v>272</v>
      </c>
      <c r="B67" s="339"/>
      <c r="C67" s="340">
        <f>'[59]КРМД-20'!$C$174</f>
        <v>0</v>
      </c>
      <c r="D67" s="351" t="e">
        <f t="shared" si="26"/>
        <v>#REF!</v>
      </c>
      <c r="E67" s="342">
        <f t="shared" si="27"/>
        <v>0</v>
      </c>
      <c r="F67" s="321" t="e">
        <f>+#REF!</f>
        <v>#REF!</v>
      </c>
      <c r="G67" s="339" t="e">
        <f>#REF!</f>
        <v>#REF!</v>
      </c>
      <c r="H67" s="890" t="e">
        <f>G67*0.022</f>
        <v>#REF!</v>
      </c>
      <c r="I67" s="340" t="e">
        <f>#REF!</f>
        <v>#REF!</v>
      </c>
      <c r="J67" s="890"/>
      <c r="K67" s="340" t="e">
        <f>#REF!</f>
        <v>#REF!</v>
      </c>
      <c r="L67" s="895"/>
      <c r="M67" s="339" t="e">
        <f>#REF!</f>
        <v>#REF!</v>
      </c>
      <c r="N67" s="890" t="e">
        <f>M67*0.15</f>
        <v>#REF!</v>
      </c>
      <c r="O67" s="340" t="e">
        <f>#REF!</f>
        <v>#REF!</v>
      </c>
      <c r="P67" s="342" t="e">
        <f t="shared" si="28"/>
        <v>#REF!</v>
      </c>
      <c r="Q67" s="890" t="e">
        <f>O67*0.12</f>
        <v>#REF!</v>
      </c>
      <c r="R67" s="340" t="e">
        <f>#REF!</f>
        <v>#REF!</v>
      </c>
      <c r="S67" s="890" t="e">
        <f>+R67*0.09</f>
        <v>#REF!</v>
      </c>
      <c r="T67" s="340" t="e">
        <f>#REF!</f>
        <v>#REF!</v>
      </c>
      <c r="U67" s="890" t="e">
        <f>T67*0.15</f>
        <v>#REF!</v>
      </c>
      <c r="V67" s="340" t="e">
        <f>#REF!</f>
        <v>#REF!</v>
      </c>
      <c r="W67" s="895" t="e">
        <f>V67*0.03</f>
        <v>#REF!</v>
      </c>
      <c r="X67" s="339" t="e">
        <f>#REF!</f>
        <v>#REF!</v>
      </c>
      <c r="Y67" s="895" t="e">
        <f>X67*0.13</f>
        <v>#REF!</v>
      </c>
      <c r="Z67" s="342" t="e">
        <f t="shared" si="35"/>
        <v>#REF!</v>
      </c>
      <c r="AA67" s="339" t="e">
        <f t="shared" si="30"/>
        <v>#REF!</v>
      </c>
      <c r="AB67" s="340" t="e">
        <f t="shared" si="34"/>
        <v>#REF!</v>
      </c>
      <c r="AC67" s="901" t="e">
        <f>Y67+N67+Q67+S67+U67+W67-(D67+H67+J67+L67)</f>
        <v>#REF!</v>
      </c>
      <c r="AD67" s="541" t="e">
        <f>#REF!</f>
        <v>#REF!</v>
      </c>
      <c r="AE67" s="847"/>
      <c r="AF67" s="851">
        <v>0.125</v>
      </c>
      <c r="AG67" s="852">
        <f t="shared" si="32"/>
        <v>0</v>
      </c>
      <c r="AH67" s="856"/>
    </row>
    <row r="68" spans="1:39" ht="12" thickBot="1">
      <c r="A68" s="542" t="s">
        <v>238</v>
      </c>
      <c r="B68" s="543" t="e">
        <f>SUM(B55:B67)</f>
        <v>#REF!</v>
      </c>
      <c r="C68" s="544">
        <f>SUM(C55:C67)</f>
        <v>0</v>
      </c>
      <c r="D68" s="545" t="e">
        <f>SUM(D55:D67)</f>
        <v>#REF!</v>
      </c>
      <c r="E68" s="546" t="e">
        <f t="shared" si="27"/>
        <v>#REF!</v>
      </c>
      <c r="F68" s="547" t="e">
        <f t="shared" ref="F68:O68" si="36">SUM(F55:F67)</f>
        <v>#REF!</v>
      </c>
      <c r="G68" s="543" t="e">
        <f t="shared" si="36"/>
        <v>#REF!</v>
      </c>
      <c r="H68" s="891" t="e">
        <f t="shared" si="36"/>
        <v>#REF!</v>
      </c>
      <c r="I68" s="544" t="e">
        <f t="shared" si="36"/>
        <v>#REF!</v>
      </c>
      <c r="J68" s="891">
        <f t="shared" si="36"/>
        <v>0</v>
      </c>
      <c r="K68" s="544" t="e">
        <f t="shared" si="36"/>
        <v>#REF!</v>
      </c>
      <c r="L68" s="892">
        <f t="shared" si="36"/>
        <v>0</v>
      </c>
      <c r="M68" s="543" t="e">
        <f t="shared" si="36"/>
        <v>#REF!</v>
      </c>
      <c r="N68" s="891" t="e">
        <f t="shared" si="36"/>
        <v>#REF!</v>
      </c>
      <c r="O68" s="544" t="e">
        <f t="shared" si="36"/>
        <v>#REF!</v>
      </c>
      <c r="P68" s="546" t="e">
        <f>IF(O68=0,0,Q68*1000/O68)</f>
        <v>#REF!</v>
      </c>
      <c r="Q68" s="891" t="e">
        <f t="shared" ref="Q68:W68" si="37">SUM(Q55:Q67)</f>
        <v>#REF!</v>
      </c>
      <c r="R68" s="544" t="e">
        <f t="shared" si="37"/>
        <v>#REF!</v>
      </c>
      <c r="S68" s="891" t="e">
        <f t="shared" si="37"/>
        <v>#REF!</v>
      </c>
      <c r="T68" s="544" t="e">
        <f>SUM(T55:T67)</f>
        <v>#REF!</v>
      </c>
      <c r="U68" s="891" t="e">
        <f t="shared" si="37"/>
        <v>#REF!</v>
      </c>
      <c r="V68" s="544" t="e">
        <f t="shared" si="37"/>
        <v>#REF!</v>
      </c>
      <c r="W68" s="892" t="e">
        <f t="shared" si="37"/>
        <v>#REF!</v>
      </c>
      <c r="X68" s="543" t="e">
        <f>SUM(X55:X67)</f>
        <v>#REF!</v>
      </c>
      <c r="Y68" s="892" t="e">
        <f>SUM(Y55:Y67)</f>
        <v>#REF!</v>
      </c>
      <c r="Z68" s="546" t="e">
        <f t="shared" si="35"/>
        <v>#REF!</v>
      </c>
      <c r="AA68" s="543" t="e">
        <f>SUM(AA55:AA67)</f>
        <v>#REF!</v>
      </c>
      <c r="AB68" s="544">
        <f>IF(AD69=0,0,AC69/AD69*1000000)</f>
        <v>0</v>
      </c>
      <c r="AC68" s="891" t="e">
        <f>Y68+N68+Q68+S68+U68+W68-(D68+H68+J68+L68)</f>
        <v>#REF!</v>
      </c>
      <c r="AD68" s="548" t="e">
        <f>SUM(AD55:AD67)</f>
        <v>#REF!</v>
      </c>
      <c r="AE68" s="847"/>
      <c r="AG68" s="345" t="e">
        <f>SUM(AG55:AG67)</f>
        <v>#REF!</v>
      </c>
    </row>
    <row r="69" spans="1:39" ht="12" thickTop="1">
      <c r="AD69" s="352"/>
      <c r="AE69" s="850"/>
      <c r="AF69" s="307"/>
    </row>
    <row r="70" spans="1:39">
      <c r="I70" s="300"/>
      <c r="L70" s="526" t="s">
        <v>283</v>
      </c>
      <c r="AC70" s="1981"/>
      <c r="AD70" s="1981"/>
      <c r="AE70" s="849"/>
      <c r="AF70" s="307"/>
    </row>
    <row r="71" spans="1:39" ht="12" thickBot="1">
      <c r="A71" s="301">
        <f>+A48+1</f>
        <v>2022</v>
      </c>
      <c r="D71" s="305"/>
      <c r="AD71" s="1293" t="s">
        <v>540</v>
      </c>
    </row>
    <row r="72" spans="1:39" ht="11.1" customHeight="1" thickTop="1">
      <c r="A72" s="1985" t="s">
        <v>284</v>
      </c>
      <c r="B72" s="1988" t="s">
        <v>285</v>
      </c>
      <c r="C72" s="1989"/>
      <c r="D72" s="1989"/>
      <c r="E72" s="1990"/>
      <c r="F72" s="1990"/>
      <c r="G72" s="1991" t="s">
        <v>245</v>
      </c>
      <c r="H72" s="1992"/>
      <c r="I72" s="1992"/>
      <c r="J72" s="1992"/>
      <c r="K72" s="1992"/>
      <c r="L72" s="1993"/>
      <c r="M72" s="1991" t="s">
        <v>250</v>
      </c>
      <c r="N72" s="1998"/>
      <c r="O72" s="1998"/>
      <c r="P72" s="1998"/>
      <c r="Q72" s="1998"/>
      <c r="R72" s="1998"/>
      <c r="S72" s="1998"/>
      <c r="T72" s="1998"/>
      <c r="U72" s="1998"/>
      <c r="V72" s="1998"/>
      <c r="W72" s="1999"/>
      <c r="X72" s="1988" t="s">
        <v>286</v>
      </c>
      <c r="Y72" s="1989"/>
      <c r="Z72" s="2000"/>
      <c r="AA72" s="1973" t="s">
        <v>287</v>
      </c>
      <c r="AB72" s="1975" t="s">
        <v>288</v>
      </c>
      <c r="AC72" s="1977" t="s">
        <v>289</v>
      </c>
      <c r="AD72" s="1979" t="s">
        <v>290</v>
      </c>
      <c r="AE72" s="844"/>
      <c r="AF72" s="1983" t="s">
        <v>408</v>
      </c>
      <c r="AG72" s="1984" t="s">
        <v>291</v>
      </c>
    </row>
    <row r="73" spans="1:39" ht="57.75" customHeight="1">
      <c r="A73" s="1986"/>
      <c r="B73" s="2001" t="s">
        <v>292</v>
      </c>
      <c r="C73" s="2002"/>
      <c r="D73" s="1995" t="s">
        <v>242</v>
      </c>
      <c r="E73" s="1976" t="s">
        <v>293</v>
      </c>
      <c r="F73" s="2005" t="s">
        <v>294</v>
      </c>
      <c r="G73" s="2001" t="s">
        <v>295</v>
      </c>
      <c r="H73" s="2007"/>
      <c r="I73" s="2008" t="s">
        <v>296</v>
      </c>
      <c r="J73" s="2008"/>
      <c r="K73" s="2008" t="s">
        <v>297</v>
      </c>
      <c r="L73" s="2009"/>
      <c r="M73" s="1994" t="s">
        <v>298</v>
      </c>
      <c r="N73" s="2008"/>
      <c r="O73" s="2008" t="s">
        <v>299</v>
      </c>
      <c r="P73" s="2008"/>
      <c r="Q73" s="2008"/>
      <c r="R73" s="2008" t="s">
        <v>300</v>
      </c>
      <c r="S73" s="2008"/>
      <c r="T73" s="2010" t="s">
        <v>301</v>
      </c>
      <c r="U73" s="2010"/>
      <c r="V73" s="2008" t="s">
        <v>302</v>
      </c>
      <c r="W73" s="2009"/>
      <c r="X73" s="1994" t="s">
        <v>292</v>
      </c>
      <c r="Y73" s="1995" t="s">
        <v>242</v>
      </c>
      <c r="Z73" s="1996" t="s">
        <v>293</v>
      </c>
      <c r="AA73" s="1974"/>
      <c r="AB73" s="1976"/>
      <c r="AC73" s="1978"/>
      <c r="AD73" s="1980"/>
      <c r="AE73" s="844"/>
      <c r="AF73" s="1983"/>
      <c r="AG73" s="1984"/>
    </row>
    <row r="74" spans="1:39" ht="45">
      <c r="A74" s="1987"/>
      <c r="B74" s="447" t="s">
        <v>83</v>
      </c>
      <c r="C74" s="448" t="s">
        <v>303</v>
      </c>
      <c r="D74" s="2003"/>
      <c r="E74" s="2004"/>
      <c r="F74" s="2006"/>
      <c r="G74" s="447" t="s">
        <v>292</v>
      </c>
      <c r="H74" s="446" t="s">
        <v>242</v>
      </c>
      <c r="I74" s="445" t="s">
        <v>292</v>
      </c>
      <c r="J74" s="446" t="s">
        <v>242</v>
      </c>
      <c r="K74" s="445" t="s">
        <v>292</v>
      </c>
      <c r="L74" s="308" t="s">
        <v>242</v>
      </c>
      <c r="M74" s="447" t="s">
        <v>292</v>
      </c>
      <c r="N74" s="446" t="s">
        <v>242</v>
      </c>
      <c r="O74" s="445" t="s">
        <v>292</v>
      </c>
      <c r="P74" s="445" t="s">
        <v>304</v>
      </c>
      <c r="Q74" s="446" t="s">
        <v>242</v>
      </c>
      <c r="R74" s="445" t="s">
        <v>292</v>
      </c>
      <c r="S74" s="446" t="s">
        <v>242</v>
      </c>
      <c r="T74" s="445" t="s">
        <v>292</v>
      </c>
      <c r="U74" s="446" t="s">
        <v>242</v>
      </c>
      <c r="V74" s="445" t="s">
        <v>292</v>
      </c>
      <c r="W74" s="308" t="s">
        <v>242</v>
      </c>
      <c r="X74" s="1994"/>
      <c r="Y74" s="1995"/>
      <c r="Z74" s="1997"/>
      <c r="AA74" s="1974"/>
      <c r="AB74" s="1976"/>
      <c r="AC74" s="1978"/>
      <c r="AD74" s="1980"/>
      <c r="AE74" s="844"/>
      <c r="AF74" s="1983"/>
      <c r="AG74" s="1984"/>
    </row>
    <row r="75" spans="1:39" ht="12" thickBot="1">
      <c r="A75" s="527" t="s">
        <v>305</v>
      </c>
      <c r="B75" s="309">
        <v>1</v>
      </c>
      <c r="C75" s="310">
        <v>2</v>
      </c>
      <c r="D75" s="310">
        <v>3</v>
      </c>
      <c r="E75" s="311"/>
      <c r="F75" s="311">
        <v>4</v>
      </c>
      <c r="G75" s="309">
        <v>5</v>
      </c>
      <c r="H75" s="310">
        <v>6</v>
      </c>
      <c r="I75" s="310">
        <v>7</v>
      </c>
      <c r="J75" s="310">
        <v>8</v>
      </c>
      <c r="K75" s="310">
        <v>9</v>
      </c>
      <c r="L75" s="311">
        <v>10</v>
      </c>
      <c r="M75" s="309">
        <v>11</v>
      </c>
      <c r="N75" s="310">
        <v>12</v>
      </c>
      <c r="O75" s="310">
        <v>13</v>
      </c>
      <c r="P75" s="310">
        <v>14</v>
      </c>
      <c r="Q75" s="310">
        <v>15</v>
      </c>
      <c r="R75" s="310">
        <v>16</v>
      </c>
      <c r="S75" s="310">
        <v>17</v>
      </c>
      <c r="T75" s="310">
        <v>18</v>
      </c>
      <c r="U75" s="310">
        <v>19</v>
      </c>
      <c r="V75" s="310">
        <v>20</v>
      </c>
      <c r="W75" s="311">
        <v>21</v>
      </c>
      <c r="X75" s="309">
        <v>22</v>
      </c>
      <c r="Y75" s="310">
        <v>23</v>
      </c>
      <c r="Z75" s="312"/>
      <c r="AA75" s="309">
        <v>24</v>
      </c>
      <c r="AB75" s="310">
        <v>25</v>
      </c>
      <c r="AC75" s="310">
        <v>26</v>
      </c>
      <c r="AD75" s="528">
        <v>27</v>
      </c>
      <c r="AE75" s="845"/>
      <c r="AF75" s="1983"/>
      <c r="AG75" s="1984"/>
    </row>
    <row r="76" spans="1:39" ht="12" thickBot="1">
      <c r="A76" s="529"/>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530"/>
      <c r="AE76" s="845"/>
      <c r="AF76" s="1983"/>
      <c r="AG76" s="1984"/>
    </row>
    <row r="77" spans="1:39" ht="12" thickBot="1">
      <c r="A77" s="531" t="s">
        <v>306</v>
      </c>
      <c r="B77" s="314"/>
      <c r="C77" s="314"/>
      <c r="D77" s="315"/>
      <c r="E77" s="314"/>
      <c r="F77" s="314"/>
      <c r="G77" s="314"/>
      <c r="H77" s="315"/>
      <c r="I77" s="314"/>
      <c r="J77" s="315"/>
      <c r="K77" s="314"/>
      <c r="L77" s="315"/>
      <c r="M77" s="314"/>
      <c r="N77" s="315"/>
      <c r="O77" s="314"/>
      <c r="P77" s="314"/>
      <c r="Q77" s="315"/>
      <c r="R77" s="314"/>
      <c r="S77" s="315"/>
      <c r="T77" s="314"/>
      <c r="U77" s="315"/>
      <c r="V77" s="314"/>
      <c r="W77" s="315"/>
      <c r="X77" s="314"/>
      <c r="Y77" s="315"/>
      <c r="Z77" s="314"/>
      <c r="AA77" s="314"/>
      <c r="AB77" s="314"/>
      <c r="AC77" s="316"/>
      <c r="AD77" s="532"/>
      <c r="AE77" s="846"/>
      <c r="AF77" s="1983"/>
      <c r="AG77" s="1984"/>
      <c r="AH77" s="300" t="e">
        <f>+AG78+AG79</f>
        <v>#REF!</v>
      </c>
    </row>
    <row r="78" spans="1:39">
      <c r="A78" s="533" t="s">
        <v>244</v>
      </c>
      <c r="B78" s="317" t="e">
        <f>+'КРМД-22'!B$6</f>
        <v>#REF!</v>
      </c>
      <c r="C78" s="318">
        <f>'[59]КРМД-20'!$C$6</f>
        <v>0</v>
      </c>
      <c r="D78" s="348" t="e">
        <f t="shared" ref="D78:D90" si="38">Y55</f>
        <v>#REF!</v>
      </c>
      <c r="E78" s="320" t="e">
        <f t="shared" ref="E78:E90" si="39">IF(B78=0,0,D78*1000/B78)</f>
        <v>#REF!</v>
      </c>
      <c r="F78" s="321" t="e">
        <f>+'КРМД-22'!E$6</f>
        <v>#REF!</v>
      </c>
      <c r="G78" s="317">
        <f>'КРМД-22'!R$7</f>
        <v>0</v>
      </c>
      <c r="H78" s="887"/>
      <c r="I78" s="318">
        <f>'КРМД-22'!$R$8</f>
        <v>0</v>
      </c>
      <c r="J78" s="887"/>
      <c r="K78" s="318">
        <f>'КРМД-22'!R$9</f>
        <v>0</v>
      </c>
      <c r="L78" s="894"/>
      <c r="M78" s="317">
        <f>'КРМД-22'!R$11</f>
        <v>0</v>
      </c>
      <c r="N78" s="887"/>
      <c r="O78" s="318">
        <f>'КРМД-22'!R$12</f>
        <v>0</v>
      </c>
      <c r="P78" s="320">
        <f t="shared" ref="P78:P90" si="40">IF(O78=0,0,Q78*1000/O78)</f>
        <v>0</v>
      </c>
      <c r="Q78" s="887"/>
      <c r="R78" s="318">
        <f>'КРМД-22'!R$13</f>
        <v>0</v>
      </c>
      <c r="S78" s="887"/>
      <c r="T78" s="318">
        <f>'КРМД-22'!R$14</f>
        <v>0</v>
      </c>
      <c r="U78" s="887"/>
      <c r="V78" s="318">
        <f>'КРМД-22'!R$15</f>
        <v>0</v>
      </c>
      <c r="W78" s="894"/>
      <c r="X78" s="324" t="e">
        <f>'КРМД-22'!R$6</f>
        <v>#REF!</v>
      </c>
      <c r="Y78" s="894" t="e">
        <f>X78*0.46</f>
        <v>#REF!</v>
      </c>
      <c r="Z78" s="320" t="e">
        <f t="shared" ref="Z78:Z84" si="41">IF(X78=0,0,Y78*1000/X78)</f>
        <v>#REF!</v>
      </c>
      <c r="AA78" s="317" t="e">
        <f t="shared" ref="AA78:AA90" si="42">AD78/366</f>
        <v>#REF!</v>
      </c>
      <c r="AB78" s="318" t="e">
        <f>IF(AD78=0,0,AC78/AD78*1000000)</f>
        <v>#REF!</v>
      </c>
      <c r="AC78" s="899" t="e">
        <f t="shared" ref="AC78:AC89" si="43">Y78+N78+Q78+S78+U78+W78-(D78+H78+J78+L78)</f>
        <v>#REF!</v>
      </c>
      <c r="AD78" s="534" t="e">
        <f>'КРМД-22'!R$16</f>
        <v>#REF!</v>
      </c>
      <c r="AE78" s="847"/>
      <c r="AF78" s="851">
        <v>0.78</v>
      </c>
      <c r="AG78" s="852" t="e">
        <f>+B78*AF78</f>
        <v>#REF!</v>
      </c>
    </row>
    <row r="79" spans="1:39">
      <c r="A79" s="533" t="s">
        <v>260</v>
      </c>
      <c r="B79" s="317" t="e">
        <f>+'КРМД-22'!B$34</f>
        <v>#REF!</v>
      </c>
      <c r="C79" s="318">
        <f>'[59]КРМД-20'!$C$34</f>
        <v>0</v>
      </c>
      <c r="D79" s="348" t="e">
        <f t="shared" si="38"/>
        <v>#REF!</v>
      </c>
      <c r="E79" s="320" t="e">
        <f t="shared" si="39"/>
        <v>#REF!</v>
      </c>
      <c r="F79" s="321" t="e">
        <f>+'КРМД-22'!E$34</f>
        <v>#REF!</v>
      </c>
      <c r="G79" s="317" t="e">
        <f>'КРМД-22'!R$35</f>
        <v>#REF!</v>
      </c>
      <c r="H79" s="887" t="e">
        <f>N82</f>
        <v>#REF!</v>
      </c>
      <c r="I79" s="318">
        <f>'КРМД-22'!R$36</f>
        <v>0</v>
      </c>
      <c r="J79" s="887"/>
      <c r="K79" s="318">
        <f>'КРМД-22'!R$37</f>
        <v>0</v>
      </c>
      <c r="L79" s="894"/>
      <c r="M79" s="317">
        <f>'КРМД-22'!R$39</f>
        <v>0</v>
      </c>
      <c r="N79" s="893">
        <f>M79*0.35</f>
        <v>0</v>
      </c>
      <c r="O79" s="318">
        <f>'КРМД-22'!R$40</f>
        <v>0</v>
      </c>
      <c r="P79" s="320">
        <f t="shared" si="40"/>
        <v>0</v>
      </c>
      <c r="Q79" s="887"/>
      <c r="R79" s="318">
        <f>'КРМД-22'!R$41</f>
        <v>0</v>
      </c>
      <c r="S79" s="887"/>
      <c r="T79" s="318">
        <f>'КРМД-22'!R$42</f>
        <v>0</v>
      </c>
      <c r="U79" s="887"/>
      <c r="V79" s="318">
        <f>'КРМД-22'!R$43</f>
        <v>0</v>
      </c>
      <c r="W79" s="894"/>
      <c r="X79" s="317" t="e">
        <f>'КРМД-22'!R$34</f>
        <v>#REF!</v>
      </c>
      <c r="Y79" s="894" t="e">
        <f>X79*0.35</f>
        <v>#REF!</v>
      </c>
      <c r="Z79" s="320" t="e">
        <f t="shared" si="41"/>
        <v>#REF!</v>
      </c>
      <c r="AA79" s="317" t="e">
        <f t="shared" si="42"/>
        <v>#REF!</v>
      </c>
      <c r="AB79" s="318" t="e">
        <f>IF(AD79=0,0,AC79/AD79*1000000)</f>
        <v>#REF!</v>
      </c>
      <c r="AC79" s="899" t="e">
        <f t="shared" si="43"/>
        <v>#REF!</v>
      </c>
      <c r="AD79" s="535" t="e">
        <f>'КРМД-22'!R$44</f>
        <v>#REF!</v>
      </c>
      <c r="AE79" s="847"/>
      <c r="AF79" s="853">
        <v>1</v>
      </c>
      <c r="AG79" s="852" t="e">
        <f t="shared" ref="AG79:AG90" si="44">+B79*AF79</f>
        <v>#REF!</v>
      </c>
    </row>
    <row r="80" spans="1:39" ht="20.25" customHeight="1">
      <c r="A80" s="533" t="s">
        <v>258</v>
      </c>
      <c r="B80" s="317" t="e">
        <f>+'КРМД-22'!B$20</f>
        <v>#REF!</v>
      </c>
      <c r="C80" s="318">
        <f>'[59]КРМД-20'!$C$20</f>
        <v>0</v>
      </c>
      <c r="D80" s="348" t="e">
        <f t="shared" si="38"/>
        <v>#REF!</v>
      </c>
      <c r="E80" s="320" t="e">
        <f t="shared" si="39"/>
        <v>#REF!</v>
      </c>
      <c r="F80" s="321" t="e">
        <f>+'КРМД-22'!E$20</f>
        <v>#REF!</v>
      </c>
      <c r="G80" s="317">
        <f>'КРМД-22'!$R$21</f>
        <v>0</v>
      </c>
      <c r="H80" s="887">
        <f>N84</f>
        <v>0</v>
      </c>
      <c r="I80" s="318">
        <f>'КРМД-22'!R$22</f>
        <v>0</v>
      </c>
      <c r="J80" s="887"/>
      <c r="K80" s="318">
        <f>'КРМД-22'!R$23</f>
        <v>0</v>
      </c>
      <c r="L80" s="894"/>
      <c r="M80" s="317">
        <f>'КРМД-22'!R$25</f>
        <v>0</v>
      </c>
      <c r="N80" s="887">
        <f>M80*0.64</f>
        <v>0</v>
      </c>
      <c r="O80" s="318">
        <f>'КРМД-22'!R$26</f>
        <v>0</v>
      </c>
      <c r="P80" s="320">
        <f t="shared" si="40"/>
        <v>0</v>
      </c>
      <c r="Q80" s="887"/>
      <c r="R80" s="318">
        <f>'КРМД-22'!R$27</f>
        <v>0</v>
      </c>
      <c r="S80" s="887"/>
      <c r="T80" s="318">
        <f>'КРМД-22'!R$28</f>
        <v>0</v>
      </c>
      <c r="U80" s="887"/>
      <c r="V80" s="318">
        <f>'КРМД-22'!R$29</f>
        <v>0</v>
      </c>
      <c r="W80" s="894"/>
      <c r="X80" s="317" t="e">
        <f>'КРМД-22'!R$20</f>
        <v>#REF!</v>
      </c>
      <c r="Y80" s="894" t="e">
        <f>X80*0.4</f>
        <v>#REF!</v>
      </c>
      <c r="Z80" s="320" t="e">
        <f t="shared" si="41"/>
        <v>#REF!</v>
      </c>
      <c r="AA80" s="317" t="e">
        <f t="shared" si="42"/>
        <v>#REF!</v>
      </c>
      <c r="AB80" s="318" t="e">
        <f>IF(AD80=0,0,AC80/AD80*1000000)</f>
        <v>#REF!</v>
      </c>
      <c r="AC80" s="899" t="e">
        <f t="shared" si="43"/>
        <v>#REF!</v>
      </c>
      <c r="AD80" s="535" t="e">
        <f>'КРМД-22'!R$30</f>
        <v>#REF!</v>
      </c>
      <c r="AE80" s="847"/>
      <c r="AF80" s="851">
        <v>1</v>
      </c>
      <c r="AG80" s="852" t="e">
        <f t="shared" si="44"/>
        <v>#REF!</v>
      </c>
    </row>
    <row r="81" spans="1:39" ht="12" thickBot="1">
      <c r="A81" s="536" t="s">
        <v>261</v>
      </c>
      <c r="B81" s="328" t="e">
        <f>+'КРМД-22'!B$48</f>
        <v>#REF!</v>
      </c>
      <c r="C81" s="329">
        <f>'[59]КРМД-20'!$C$48</f>
        <v>0</v>
      </c>
      <c r="D81" s="349" t="e">
        <f t="shared" si="38"/>
        <v>#REF!</v>
      </c>
      <c r="E81" s="331" t="e">
        <f t="shared" si="39"/>
        <v>#REF!</v>
      </c>
      <c r="F81" s="321">
        <f>+'КРМД-22'!E$48</f>
        <v>0</v>
      </c>
      <c r="G81" s="328">
        <f>'КРМД-22'!R$49</f>
        <v>0</v>
      </c>
      <c r="H81" s="888">
        <f>N78+N79+N80</f>
        <v>0</v>
      </c>
      <c r="I81" s="329">
        <f>'КРМД-22'!R$50</f>
        <v>0</v>
      </c>
      <c r="J81" s="888"/>
      <c r="K81" s="329">
        <f>'КРМД-22'!R$51</f>
        <v>0</v>
      </c>
      <c r="L81" s="897"/>
      <c r="M81" s="328">
        <f>'КРМД-22'!R$53</f>
        <v>0</v>
      </c>
      <c r="N81" s="888"/>
      <c r="O81" s="329" t="e">
        <f>'КРМД-22'!R$54</f>
        <v>#REF!</v>
      </c>
      <c r="P81" s="331" t="e">
        <f t="shared" si="40"/>
        <v>#REF!</v>
      </c>
      <c r="Q81" s="888" t="e">
        <f>O81*0.37</f>
        <v>#REF!</v>
      </c>
      <c r="R81" s="329">
        <f>'КРМД-22'!R$55</f>
        <v>0</v>
      </c>
      <c r="S81" s="888"/>
      <c r="T81" s="329">
        <f>'КРМД-22'!R$56</f>
        <v>0</v>
      </c>
      <c r="U81" s="888"/>
      <c r="V81" s="329">
        <f>'КРМД-22'!R$57</f>
        <v>0</v>
      </c>
      <c r="W81" s="897"/>
      <c r="X81" s="328" t="e">
        <f>'КРМД-22'!R$48</f>
        <v>#REF!</v>
      </c>
      <c r="Y81" s="897" t="e">
        <f>X81*0.45</f>
        <v>#REF!</v>
      </c>
      <c r="Z81" s="331" t="e">
        <f t="shared" si="41"/>
        <v>#REF!</v>
      </c>
      <c r="AA81" s="328" t="e">
        <f t="shared" si="42"/>
        <v>#REF!</v>
      </c>
      <c r="AB81" s="329" t="e">
        <f>IF(AD81=0,0,AC81/AD81*1000000)</f>
        <v>#REF!</v>
      </c>
      <c r="AC81" s="900" t="e">
        <f t="shared" si="43"/>
        <v>#REF!</v>
      </c>
      <c r="AD81" s="537" t="e">
        <f>'КРМД-22'!R$58</f>
        <v>#REF!</v>
      </c>
      <c r="AE81" s="847"/>
      <c r="AF81" s="851">
        <v>0.5</v>
      </c>
      <c r="AG81" s="852" t="e">
        <f t="shared" si="44"/>
        <v>#REF!</v>
      </c>
      <c r="AH81" s="856" t="e">
        <f>SUM(AG81:AG90)</f>
        <v>#REF!</v>
      </c>
    </row>
    <row r="82" spans="1:39">
      <c r="A82" s="538" t="s">
        <v>263</v>
      </c>
      <c r="B82" s="324" t="e">
        <f>+'КРМД-22'!B$62</f>
        <v>#REF!</v>
      </c>
      <c r="C82" s="326">
        <f>'[59]КРМД-20'!$C$62</f>
        <v>0</v>
      </c>
      <c r="D82" s="350" t="e">
        <f t="shared" si="38"/>
        <v>#REF!</v>
      </c>
      <c r="E82" s="325" t="e">
        <f t="shared" si="39"/>
        <v>#REF!</v>
      </c>
      <c r="F82" s="321" t="e">
        <f>+'КРМД-22'!E$62</f>
        <v>#REF!</v>
      </c>
      <c r="G82" s="324" t="e">
        <f>'КРМД-22'!R$63</f>
        <v>#REF!</v>
      </c>
      <c r="H82" s="889" t="e">
        <f>N83</f>
        <v>#REF!</v>
      </c>
      <c r="I82" s="326">
        <f>'КРМД-22'!R$64</f>
        <v>0</v>
      </c>
      <c r="J82" s="889"/>
      <c r="K82" s="326">
        <f>'КРМД-22'!R$65</f>
        <v>0</v>
      </c>
      <c r="L82" s="896"/>
      <c r="M82" s="324" t="e">
        <f>'КРМД-22'!R$67</f>
        <v>#REF!</v>
      </c>
      <c r="N82" s="889" t="e">
        <f>M82*0.35</f>
        <v>#REF!</v>
      </c>
      <c r="O82" s="326">
        <f>'КРМД-22'!R$68</f>
        <v>0</v>
      </c>
      <c r="P82" s="903">
        <f t="shared" si="40"/>
        <v>0</v>
      </c>
      <c r="Q82" s="889">
        <f>O82*0.35</f>
        <v>0</v>
      </c>
      <c r="R82" s="326">
        <f>'КРМД-22'!R$69</f>
        <v>0</v>
      </c>
      <c r="S82" s="889"/>
      <c r="T82" s="326">
        <f>'КРМД-22'!R$70</f>
        <v>0</v>
      </c>
      <c r="U82" s="889"/>
      <c r="V82" s="326">
        <f>'КРМД-22'!R$71</f>
        <v>0</v>
      </c>
      <c r="W82" s="896"/>
      <c r="X82" s="324" t="e">
        <f>'КРМД-22'!R$62</f>
        <v>#REF!</v>
      </c>
      <c r="Y82" s="896" t="e">
        <f>X82*0.35</f>
        <v>#REF!</v>
      </c>
      <c r="Z82" s="325" t="e">
        <f t="shared" si="41"/>
        <v>#REF!</v>
      </c>
      <c r="AA82" s="324" t="e">
        <f t="shared" si="42"/>
        <v>#REF!</v>
      </c>
      <c r="AB82" s="326" t="e">
        <f>IF(AD82=0,0,AC82/AD82*1000000)</f>
        <v>#REF!</v>
      </c>
      <c r="AC82" s="898" t="e">
        <f t="shared" si="43"/>
        <v>#REF!</v>
      </c>
      <c r="AD82" s="534" t="e">
        <f>'КРМД-22'!R$72</f>
        <v>#REF!</v>
      </c>
      <c r="AE82" s="847"/>
      <c r="AF82" s="851">
        <v>0.61</v>
      </c>
      <c r="AG82" s="852" t="e">
        <f t="shared" si="44"/>
        <v>#REF!</v>
      </c>
      <c r="AH82" s="856"/>
    </row>
    <row r="83" spans="1:39">
      <c r="A83" s="533" t="s">
        <v>264</v>
      </c>
      <c r="B83" s="317" t="e">
        <f>+'КРМД-22'!B$76</f>
        <v>#REF!</v>
      </c>
      <c r="C83" s="318">
        <f>'[59]КРМД-20'!$C$76</f>
        <v>0</v>
      </c>
      <c r="D83" s="348" t="e">
        <f t="shared" si="38"/>
        <v>#REF!</v>
      </c>
      <c r="E83" s="320" t="e">
        <f t="shared" si="39"/>
        <v>#REF!</v>
      </c>
      <c r="F83" s="321" t="e">
        <f>+'КРМД-22'!E$76</f>
        <v>#REF!</v>
      </c>
      <c r="G83" s="317" t="e">
        <f>'КРМД-22'!R$77</f>
        <v>#REF!</v>
      </c>
      <c r="H83" s="887" t="e">
        <f t="shared" ref="H83:H88" si="45">N85</f>
        <v>#REF!</v>
      </c>
      <c r="I83" s="318">
        <f>'КРМД-22'!R$78</f>
        <v>0</v>
      </c>
      <c r="J83" s="887"/>
      <c r="K83" s="318">
        <f>'КРМД-22'!R$79</f>
        <v>0</v>
      </c>
      <c r="L83" s="894"/>
      <c r="M83" s="317" t="e">
        <f>'КРМД-22'!R$81</f>
        <v>#REF!</v>
      </c>
      <c r="N83" s="887" t="e">
        <f>M83*0.298</f>
        <v>#REF!</v>
      </c>
      <c r="O83" s="318">
        <f>'КРМД-22'!R$82</f>
        <v>0</v>
      </c>
      <c r="P83" s="320">
        <f t="shared" si="40"/>
        <v>0</v>
      </c>
      <c r="Q83" s="887"/>
      <c r="R83" s="318">
        <f>'КРМД-22'!R$83</f>
        <v>0</v>
      </c>
      <c r="S83" s="887"/>
      <c r="T83" s="318">
        <f>'КРМД-22'!R$84</f>
        <v>0</v>
      </c>
      <c r="U83" s="887"/>
      <c r="V83" s="318">
        <f>'КРМД-22'!R$85</f>
        <v>0</v>
      </c>
      <c r="W83" s="894"/>
      <c r="X83" s="317" t="e">
        <f>'КРМД-22'!R$76</f>
        <v>#REF!</v>
      </c>
      <c r="Y83" s="894" t="e">
        <f>X83*0.28</f>
        <v>#REF!</v>
      </c>
      <c r="Z83" s="320" t="e">
        <f t="shared" si="41"/>
        <v>#REF!</v>
      </c>
      <c r="AA83" s="317" t="e">
        <f t="shared" si="42"/>
        <v>#REF!</v>
      </c>
      <c r="AB83" s="318" t="e">
        <f>IF(AD83=0,0,AC83/AD83*100000)</f>
        <v>#REF!</v>
      </c>
      <c r="AC83" s="899" t="e">
        <f t="shared" si="43"/>
        <v>#REF!</v>
      </c>
      <c r="AD83" s="535" t="e">
        <f>'КРМД-22'!R$86</f>
        <v>#REF!</v>
      </c>
      <c r="AE83" s="847"/>
      <c r="AF83" s="851">
        <v>0.57999999999999996</v>
      </c>
      <c r="AG83" s="852" t="e">
        <f t="shared" si="44"/>
        <v>#REF!</v>
      </c>
      <c r="AH83" s="856"/>
    </row>
    <row r="84" spans="1:39">
      <c r="A84" s="533" t="s">
        <v>267</v>
      </c>
      <c r="B84" s="317" t="e">
        <f>+'КРМД-22'!B$118</f>
        <v>#REF!</v>
      </c>
      <c r="C84" s="318">
        <f>'[59]КРМД-20'!$C$118</f>
        <v>0</v>
      </c>
      <c r="D84" s="348" t="e">
        <f t="shared" si="38"/>
        <v>#REF!</v>
      </c>
      <c r="E84" s="320" t="e">
        <f t="shared" si="39"/>
        <v>#REF!</v>
      </c>
      <c r="F84" s="321">
        <f>+'КРМД-22'!E$118</f>
        <v>0</v>
      </c>
      <c r="G84" s="317" t="e">
        <f>'КРМД-22'!R$119</f>
        <v>#REF!</v>
      </c>
      <c r="H84" s="887" t="e">
        <f t="shared" si="45"/>
        <v>#REF!</v>
      </c>
      <c r="I84" s="318">
        <f>'КРМД-22'!R$120</f>
        <v>0</v>
      </c>
      <c r="J84" s="887"/>
      <c r="K84" s="318">
        <f>'КРМД-22'!R$121</f>
        <v>0</v>
      </c>
      <c r="L84" s="894"/>
      <c r="M84" s="317">
        <f>'КРМД-22'!R$123</f>
        <v>0</v>
      </c>
      <c r="N84" s="887"/>
      <c r="O84" s="318">
        <f>'КРМД-22'!R$124</f>
        <v>0</v>
      </c>
      <c r="P84" s="320">
        <f t="shared" si="40"/>
        <v>0</v>
      </c>
      <c r="Q84" s="887"/>
      <c r="R84" s="318">
        <f>'КРМД-22'!R$125</f>
        <v>0</v>
      </c>
      <c r="S84" s="887"/>
      <c r="T84" s="318">
        <f>'КРМД-22'!R$126</f>
        <v>0</v>
      </c>
      <c r="U84" s="887"/>
      <c r="V84" s="318">
        <f>'КРМД-22'!R$127</f>
        <v>0</v>
      </c>
      <c r="W84" s="894"/>
      <c r="X84" s="317" t="e">
        <f>'КРМД-22'!R$118</f>
        <v>#REF!</v>
      </c>
      <c r="Y84" s="894" t="e">
        <f>X84*0.3</f>
        <v>#REF!</v>
      </c>
      <c r="Z84" s="320" t="e">
        <f t="shared" si="41"/>
        <v>#REF!</v>
      </c>
      <c r="AA84" s="317" t="e">
        <f t="shared" si="42"/>
        <v>#REF!</v>
      </c>
      <c r="AB84" s="318" t="e">
        <f t="shared" ref="AB84:AB90" si="46">IF(AD84=0,0,AC84/AD84*1000000)</f>
        <v>#REF!</v>
      </c>
      <c r="AC84" s="899" t="e">
        <f t="shared" si="43"/>
        <v>#REF!</v>
      </c>
      <c r="AD84" s="535" t="e">
        <f>'КРМД-22'!R$128</f>
        <v>#REF!</v>
      </c>
      <c r="AE84" s="847"/>
      <c r="AF84" s="851">
        <v>0.57999999999999996</v>
      </c>
      <c r="AG84" s="852" t="e">
        <f t="shared" si="44"/>
        <v>#REF!</v>
      </c>
      <c r="AH84" s="856"/>
    </row>
    <row r="85" spans="1:39">
      <c r="A85" s="533" t="s">
        <v>265</v>
      </c>
      <c r="B85" s="317" t="e">
        <f>+'КРМД-22'!B$90</f>
        <v>#REF!</v>
      </c>
      <c r="C85" s="318">
        <f>'[59]КРМД-20'!$C$90</f>
        <v>0</v>
      </c>
      <c r="D85" s="348" t="e">
        <f t="shared" si="38"/>
        <v>#REF!</v>
      </c>
      <c r="E85" s="320" t="e">
        <f t="shared" si="39"/>
        <v>#REF!</v>
      </c>
      <c r="F85" s="321" t="e">
        <f>+'КРМД-22'!E$90</f>
        <v>#REF!</v>
      </c>
      <c r="G85" s="317" t="e">
        <f>'КРМД-22'!R$91</f>
        <v>#REF!</v>
      </c>
      <c r="H85" s="887" t="e">
        <f t="shared" si="45"/>
        <v>#REF!</v>
      </c>
      <c r="I85" s="318">
        <f>'КРМД-22'!R$92</f>
        <v>0</v>
      </c>
      <c r="J85" s="887"/>
      <c r="K85" s="318">
        <f>'КРМД-22'!R$93</f>
        <v>0</v>
      </c>
      <c r="L85" s="894"/>
      <c r="M85" s="317" t="e">
        <f>'КРМД-22'!R$95</f>
        <v>#REF!</v>
      </c>
      <c r="N85" s="887" t="e">
        <f>M85*0.28</f>
        <v>#REF!</v>
      </c>
      <c r="O85" s="318">
        <f>'КРМД-22'!R$96</f>
        <v>0</v>
      </c>
      <c r="P85" s="320">
        <f t="shared" si="40"/>
        <v>0</v>
      </c>
      <c r="Q85" s="887">
        <f>O85*0.298</f>
        <v>0</v>
      </c>
      <c r="R85" s="318">
        <f>'КРМД-22'!R$97</f>
        <v>0</v>
      </c>
      <c r="S85" s="887">
        <f>+R85*0.3</f>
        <v>0</v>
      </c>
      <c r="T85" s="318">
        <f>'КРМД-22'!R$98</f>
        <v>0</v>
      </c>
      <c r="U85" s="887"/>
      <c r="V85" s="318">
        <f>'КРМД-22'!R$99</f>
        <v>0</v>
      </c>
      <c r="W85" s="894"/>
      <c r="X85" s="317" t="e">
        <f>'КРМД-22'!R$90</f>
        <v>#REF!</v>
      </c>
      <c r="Y85" s="894" t="e">
        <f>X85*0.265</f>
        <v>#REF!</v>
      </c>
      <c r="Z85" s="320" t="e">
        <f>IF(X85=0,0,Y85*1000/X85)</f>
        <v>#REF!</v>
      </c>
      <c r="AA85" s="317" t="e">
        <f t="shared" si="42"/>
        <v>#REF!</v>
      </c>
      <c r="AB85" s="318" t="e">
        <f t="shared" si="46"/>
        <v>#REF!</v>
      </c>
      <c r="AC85" s="899" t="e">
        <f t="shared" si="43"/>
        <v>#REF!</v>
      </c>
      <c r="AD85" s="535" t="e">
        <f>'КРМД-22'!R$100</f>
        <v>#REF!</v>
      </c>
      <c r="AE85" s="847"/>
      <c r="AF85" s="851">
        <v>0.54</v>
      </c>
      <c r="AG85" s="852" t="e">
        <f t="shared" si="44"/>
        <v>#REF!</v>
      </c>
      <c r="AH85" s="856"/>
    </row>
    <row r="86" spans="1:39">
      <c r="A86" s="533" t="s">
        <v>268</v>
      </c>
      <c r="B86" s="317" t="e">
        <f>+'КРМД-22'!B$132</f>
        <v>#REF!</v>
      </c>
      <c r="C86" s="318">
        <f>'[59]КРМД-20'!$C$132</f>
        <v>0</v>
      </c>
      <c r="D86" s="348" t="e">
        <f t="shared" si="38"/>
        <v>#REF!</v>
      </c>
      <c r="E86" s="320" t="e">
        <f t="shared" si="39"/>
        <v>#REF!</v>
      </c>
      <c r="F86" s="321" t="e">
        <f>+'КРМД-22'!E$132</f>
        <v>#REF!</v>
      </c>
      <c r="G86" s="317" t="e">
        <f>'КРМД-22'!R$133</f>
        <v>#REF!</v>
      </c>
      <c r="H86" s="887" t="e">
        <f t="shared" si="45"/>
        <v>#REF!</v>
      </c>
      <c r="I86" s="318">
        <f>'КРМД-22'!R$134</f>
        <v>0</v>
      </c>
      <c r="J86" s="887"/>
      <c r="K86" s="318">
        <f>'КРМД-22'!R$135</f>
        <v>0</v>
      </c>
      <c r="L86" s="894"/>
      <c r="M86" s="317" t="e">
        <f>'КРМД-22'!R$137</f>
        <v>#REF!</v>
      </c>
      <c r="N86" s="887" t="e">
        <f>M86*0.25</f>
        <v>#REF!</v>
      </c>
      <c r="O86" s="318" t="e">
        <f>'КРМД-22'!R$138</f>
        <v>#REF!</v>
      </c>
      <c r="P86" s="320" t="e">
        <f t="shared" si="40"/>
        <v>#REF!</v>
      </c>
      <c r="Q86" s="887" t="e">
        <f>O86*0.257</f>
        <v>#REF!</v>
      </c>
      <c r="R86" s="318">
        <f>'КРМД-22'!R$139</f>
        <v>0</v>
      </c>
      <c r="S86" s="887"/>
      <c r="T86" s="318">
        <f>'КРМД-22'!R$140</f>
        <v>0</v>
      </c>
      <c r="U86" s="887"/>
      <c r="V86" s="318">
        <f>'КРМД-22'!R$141</f>
        <v>0</v>
      </c>
      <c r="W86" s="894"/>
      <c r="X86" s="317" t="e">
        <f>'КРМД-22'!R$132</f>
        <v>#REF!</v>
      </c>
      <c r="Y86" s="894" t="e">
        <f>X86*0.257</f>
        <v>#REF!</v>
      </c>
      <c r="Z86" s="320" t="e">
        <f t="shared" ref="Z86:Z90" si="47">IF(X86=0,0,Y86*1000/X86)</f>
        <v>#REF!</v>
      </c>
      <c r="AA86" s="317" t="e">
        <f t="shared" si="42"/>
        <v>#REF!</v>
      </c>
      <c r="AB86" s="318" t="e">
        <f t="shared" si="46"/>
        <v>#REF!</v>
      </c>
      <c r="AC86" s="899" t="e">
        <f t="shared" si="43"/>
        <v>#REF!</v>
      </c>
      <c r="AD86" s="535" t="e">
        <f>'КРМД-22'!R$142</f>
        <v>#REF!</v>
      </c>
      <c r="AE86" s="847"/>
      <c r="AF86" s="851">
        <v>0.54</v>
      </c>
      <c r="AG86" s="852" t="e">
        <f t="shared" si="44"/>
        <v>#REF!</v>
      </c>
      <c r="AH86" s="856"/>
    </row>
    <row r="87" spans="1:39">
      <c r="A87" s="533" t="s">
        <v>266</v>
      </c>
      <c r="B87" s="317" t="e">
        <f>+'КРМД-22'!B$104</f>
        <v>#REF!</v>
      </c>
      <c r="C87" s="318">
        <f>'[59]КРМД-20'!$C$104</f>
        <v>0</v>
      </c>
      <c r="D87" s="348" t="e">
        <f t="shared" si="38"/>
        <v>#REF!</v>
      </c>
      <c r="E87" s="320" t="e">
        <f t="shared" si="39"/>
        <v>#REF!</v>
      </c>
      <c r="F87" s="321" t="e">
        <f>+'КРМД-22'!E$104</f>
        <v>#REF!</v>
      </c>
      <c r="G87" s="317" t="e">
        <f>'КРМД-22'!R$105</f>
        <v>#REF!</v>
      </c>
      <c r="H87" s="887" t="e">
        <f t="shared" si="45"/>
        <v>#REF!</v>
      </c>
      <c r="I87" s="318">
        <f>'КРМД-22'!R$106</f>
        <v>0</v>
      </c>
      <c r="J87" s="887"/>
      <c r="K87" s="318">
        <f>'КРМД-22'!R$107</f>
        <v>0</v>
      </c>
      <c r="L87" s="894"/>
      <c r="M87" s="317" t="e">
        <f>'КРМД-22'!R$109</f>
        <v>#REF!</v>
      </c>
      <c r="N87" s="887" t="e">
        <f>M87*0.22</f>
        <v>#REF!</v>
      </c>
      <c r="O87" s="318">
        <f>'КРМД-22'!R$110</f>
        <v>0</v>
      </c>
      <c r="P87" s="320">
        <f t="shared" si="40"/>
        <v>0</v>
      </c>
      <c r="Q87" s="887">
        <f>O87*0.23</f>
        <v>0</v>
      </c>
      <c r="R87" s="318">
        <f>'КРМД-22'!R$111</f>
        <v>0</v>
      </c>
      <c r="S87" s="887">
        <f>R87*0.265</f>
        <v>0</v>
      </c>
      <c r="T87" s="318">
        <f>'КРМД-22'!R$112</f>
        <v>0</v>
      </c>
      <c r="U87" s="887">
        <f>T87*0.155</f>
        <v>0</v>
      </c>
      <c r="V87" s="318">
        <f>'КРМД-22'!R$113</f>
        <v>0</v>
      </c>
      <c r="W87" s="894"/>
      <c r="X87" s="317" t="e">
        <f>'КРМД-22'!R$104</f>
        <v>#REF!</v>
      </c>
      <c r="Y87" s="894" t="e">
        <f>X87*0.13</f>
        <v>#REF!</v>
      </c>
      <c r="Z87" s="320" t="e">
        <f t="shared" si="47"/>
        <v>#REF!</v>
      </c>
      <c r="AA87" s="317" t="e">
        <f t="shared" si="42"/>
        <v>#REF!</v>
      </c>
      <c r="AB87" s="318" t="e">
        <f t="shared" si="46"/>
        <v>#REF!</v>
      </c>
      <c r="AC87" s="899" t="e">
        <f t="shared" si="43"/>
        <v>#REF!</v>
      </c>
      <c r="AD87" s="535" t="e">
        <f>'КРМД-22'!R$114</f>
        <v>#REF!</v>
      </c>
      <c r="AE87" s="847"/>
      <c r="AF87" s="851">
        <v>0.35</v>
      </c>
      <c r="AG87" s="852" t="e">
        <f t="shared" si="44"/>
        <v>#REF!</v>
      </c>
      <c r="AH87" s="856"/>
    </row>
    <row r="88" spans="1:39">
      <c r="A88" s="533" t="s">
        <v>269</v>
      </c>
      <c r="B88" s="317" t="e">
        <f>+'КРМД-22'!B$146</f>
        <v>#REF!</v>
      </c>
      <c r="C88" s="318">
        <f>'[59]КРМД-20'!$C$146</f>
        <v>0</v>
      </c>
      <c r="D88" s="348" t="e">
        <f t="shared" si="38"/>
        <v>#REF!</v>
      </c>
      <c r="E88" s="320" t="e">
        <f t="shared" si="39"/>
        <v>#REF!</v>
      </c>
      <c r="F88" s="321" t="e">
        <f>+'КРМД-22'!E$146</f>
        <v>#REF!</v>
      </c>
      <c r="G88" s="317" t="e">
        <f>'КРМД-22'!R$147</f>
        <v>#REF!</v>
      </c>
      <c r="H88" s="887" t="e">
        <f t="shared" si="45"/>
        <v>#REF!</v>
      </c>
      <c r="I88" s="318">
        <f>'КРМД-22'!R$148</f>
        <v>0</v>
      </c>
      <c r="J88" s="887"/>
      <c r="K88" s="318">
        <f>'КРМД-22'!R$149</f>
        <v>0</v>
      </c>
      <c r="L88" s="894"/>
      <c r="M88" s="317" t="e">
        <f>'КРМД-22'!R$151</f>
        <v>#REF!</v>
      </c>
      <c r="N88" s="887" t="e">
        <f>M88*0.24</f>
        <v>#REF!</v>
      </c>
      <c r="O88" s="318">
        <f>'КРМД-22'!R$152</f>
        <v>0</v>
      </c>
      <c r="P88" s="320">
        <f t="shared" si="40"/>
        <v>0</v>
      </c>
      <c r="Q88" s="887">
        <f>O88*0.25</f>
        <v>0</v>
      </c>
      <c r="R88" s="318">
        <f>'КРМД-22'!R$153</f>
        <v>0</v>
      </c>
      <c r="S88" s="887"/>
      <c r="T88" s="318">
        <f>'КРМД-22'!R$154</f>
        <v>0</v>
      </c>
      <c r="U88" s="887"/>
      <c r="V88" s="318">
        <f>'КРМД-22'!R$155</f>
        <v>0</v>
      </c>
      <c r="W88" s="894"/>
      <c r="X88" s="317" t="e">
        <f>'КРМД-22'!R$146</f>
        <v>#REF!</v>
      </c>
      <c r="Y88" s="894" t="e">
        <f>X88*0.15</f>
        <v>#REF!</v>
      </c>
      <c r="Z88" s="320" t="e">
        <f t="shared" si="47"/>
        <v>#REF!</v>
      </c>
      <c r="AA88" s="317" t="e">
        <f t="shared" si="42"/>
        <v>#REF!</v>
      </c>
      <c r="AB88" s="318" t="e">
        <f t="shared" si="46"/>
        <v>#REF!</v>
      </c>
      <c r="AC88" s="899" t="e">
        <f t="shared" si="43"/>
        <v>#REF!</v>
      </c>
      <c r="AD88" s="535" t="e">
        <f>'КРМД-22'!R$156</f>
        <v>#REF!</v>
      </c>
      <c r="AE88" s="847"/>
      <c r="AF88" s="851">
        <v>0.35</v>
      </c>
      <c r="AG88" s="852" t="e">
        <f t="shared" si="44"/>
        <v>#REF!</v>
      </c>
      <c r="AH88" s="856"/>
    </row>
    <row r="89" spans="1:39" ht="22.5">
      <c r="A89" s="539" t="s">
        <v>270</v>
      </c>
      <c r="B89" s="317"/>
      <c r="C89" s="318">
        <f>'[59]КРМД-20'!$C$160</f>
        <v>0</v>
      </c>
      <c r="D89" s="348" t="e">
        <f t="shared" si="38"/>
        <v>#REF!</v>
      </c>
      <c r="E89" s="320">
        <f t="shared" si="39"/>
        <v>0</v>
      </c>
      <c r="F89" s="321">
        <f>+'КРМД-22'!E$17</f>
        <v>0</v>
      </c>
      <c r="G89" s="317" t="e">
        <f>'КРМД-22'!R$161</f>
        <v>#REF!</v>
      </c>
      <c r="H89" s="887" t="e">
        <f>G89*0.022</f>
        <v>#REF!</v>
      </c>
      <c r="I89" s="318">
        <f>'КРМД-22'!R$162</f>
        <v>0</v>
      </c>
      <c r="J89" s="887"/>
      <c r="K89" s="318">
        <f>'КРМД-22'!R$163</f>
        <v>0</v>
      </c>
      <c r="L89" s="894"/>
      <c r="M89" s="317" t="e">
        <f>'КРМД-22'!R$165</f>
        <v>#REF!</v>
      </c>
      <c r="N89" s="887" t="e">
        <f>M89*0.13</f>
        <v>#REF!</v>
      </c>
      <c r="O89" s="318">
        <f>'КРМД-22'!R$166</f>
        <v>0</v>
      </c>
      <c r="P89" s="320">
        <f t="shared" si="40"/>
        <v>0</v>
      </c>
      <c r="Q89" s="887"/>
      <c r="R89" s="318">
        <f>'КРМД-22'!R$167</f>
        <v>0</v>
      </c>
      <c r="S89" s="887">
        <f>R89*0.08</f>
        <v>0</v>
      </c>
      <c r="T89" s="318">
        <f>'КРМД-22'!R$168</f>
        <v>0</v>
      </c>
      <c r="U89" s="887">
        <f>T89*0.15</f>
        <v>0</v>
      </c>
      <c r="V89" s="318">
        <f>'КРМД-22'!R$169</f>
        <v>0</v>
      </c>
      <c r="W89" s="894">
        <f>V89*0.03</f>
        <v>0</v>
      </c>
      <c r="X89" s="317" t="e">
        <f>'КРМД-22'!R$160</f>
        <v>#REF!</v>
      </c>
      <c r="Y89" s="894" t="e">
        <f>X89*0.1</f>
        <v>#REF!</v>
      </c>
      <c r="Z89" s="320" t="e">
        <f t="shared" si="47"/>
        <v>#REF!</v>
      </c>
      <c r="AA89" s="317" t="e">
        <f t="shared" si="42"/>
        <v>#REF!</v>
      </c>
      <c r="AB89" s="318" t="e">
        <f t="shared" si="46"/>
        <v>#REF!</v>
      </c>
      <c r="AC89" s="899" t="e">
        <f t="shared" si="43"/>
        <v>#REF!</v>
      </c>
      <c r="AD89" s="535" t="e">
        <f>'КРМД-22'!R$170</f>
        <v>#REF!</v>
      </c>
      <c r="AE89" s="847"/>
      <c r="AF89" s="851">
        <v>0.125</v>
      </c>
      <c r="AG89" s="852">
        <f t="shared" si="44"/>
        <v>0</v>
      </c>
      <c r="AH89" s="856"/>
      <c r="AI89" s="1982" t="s">
        <v>77</v>
      </c>
      <c r="AJ89" s="1982"/>
      <c r="AK89" s="1982"/>
      <c r="AL89" s="1982"/>
      <c r="AM89" s="1982"/>
    </row>
    <row r="90" spans="1:39" ht="23.25" thickBot="1">
      <c r="A90" s="540" t="s">
        <v>272</v>
      </c>
      <c r="B90" s="339"/>
      <c r="C90" s="340">
        <f>'[59]КРМД-20'!$C$174</f>
        <v>0</v>
      </c>
      <c r="D90" s="351" t="e">
        <f t="shared" si="38"/>
        <v>#REF!</v>
      </c>
      <c r="E90" s="342">
        <f t="shared" si="39"/>
        <v>0</v>
      </c>
      <c r="F90" s="321">
        <f>+'КРМД-22'!E$18</f>
        <v>0</v>
      </c>
      <c r="G90" s="339" t="e">
        <f>'КРМД-22'!R$175</f>
        <v>#REF!</v>
      </c>
      <c r="H90" s="890" t="e">
        <f>G90*0.022</f>
        <v>#REF!</v>
      </c>
      <c r="I90" s="340">
        <f>'КРМД-22'!R$176</f>
        <v>0</v>
      </c>
      <c r="J90" s="890"/>
      <c r="K90" s="340">
        <f>'КРМД-22'!R$177</f>
        <v>0</v>
      </c>
      <c r="L90" s="895"/>
      <c r="M90" s="339" t="e">
        <f>'КРМД-22'!R$179</f>
        <v>#REF!</v>
      </c>
      <c r="N90" s="890" t="e">
        <f>M90*0.15</f>
        <v>#REF!</v>
      </c>
      <c r="O90" s="340">
        <f>'КРМД-22'!R$180</f>
        <v>0</v>
      </c>
      <c r="P90" s="342">
        <f t="shared" si="40"/>
        <v>0</v>
      </c>
      <c r="Q90" s="890">
        <f>O90*0.12</f>
        <v>0</v>
      </c>
      <c r="R90" s="340">
        <f>'КРМД-22'!R$181</f>
        <v>0</v>
      </c>
      <c r="S90" s="890">
        <f>+R90*0.09</f>
        <v>0</v>
      </c>
      <c r="T90" s="340">
        <f>'КРМД-22'!R$182</f>
        <v>0</v>
      </c>
      <c r="U90" s="890">
        <f>T90*0.15</f>
        <v>0</v>
      </c>
      <c r="V90" s="340">
        <f>'КРМД-22'!R$183</f>
        <v>0</v>
      </c>
      <c r="W90" s="895">
        <f>V90*0.03</f>
        <v>0</v>
      </c>
      <c r="X90" s="339" t="e">
        <f>'КРМД-22'!R$174</f>
        <v>#REF!</v>
      </c>
      <c r="Y90" s="895" t="e">
        <f>X90*0.13</f>
        <v>#REF!</v>
      </c>
      <c r="Z90" s="342" t="e">
        <f t="shared" si="47"/>
        <v>#REF!</v>
      </c>
      <c r="AA90" s="339" t="e">
        <f t="shared" si="42"/>
        <v>#REF!</v>
      </c>
      <c r="AB90" s="340" t="e">
        <f t="shared" si="46"/>
        <v>#REF!</v>
      </c>
      <c r="AC90" s="901" t="e">
        <f>Y90+N90+Q90+S90+U90+W90-(D90+H90+J90+L90)</f>
        <v>#REF!</v>
      </c>
      <c r="AD90" s="541" t="e">
        <f>'КРМД-22'!R$184</f>
        <v>#REF!</v>
      </c>
      <c r="AE90" s="847"/>
      <c r="AF90" s="851">
        <v>0.125</v>
      </c>
      <c r="AG90" s="852">
        <f t="shared" si="44"/>
        <v>0</v>
      </c>
      <c r="AH90" s="856"/>
    </row>
    <row r="91" spans="1:39" ht="12" thickBot="1">
      <c r="A91" s="542" t="s">
        <v>238</v>
      </c>
      <c r="B91" s="543" t="e">
        <f>SUM(B78:B90)</f>
        <v>#REF!</v>
      </c>
      <c r="C91" s="544">
        <f>SUM(C78:C90)</f>
        <v>0</v>
      </c>
      <c r="D91" s="545" t="e">
        <f>SUM(D78:D90)</f>
        <v>#REF!</v>
      </c>
      <c r="E91" s="546" t="e">
        <f t="shared" ref="E91" si="48">IF(B91=0,0,D91*1000/B91)</f>
        <v>#REF!</v>
      </c>
      <c r="F91" s="547" t="e">
        <f t="shared" ref="F91:O91" si="49">SUM(F78:F90)</f>
        <v>#REF!</v>
      </c>
      <c r="G91" s="543" t="e">
        <f t="shared" si="49"/>
        <v>#REF!</v>
      </c>
      <c r="H91" s="891" t="e">
        <f t="shared" si="49"/>
        <v>#REF!</v>
      </c>
      <c r="I91" s="544">
        <f t="shared" si="49"/>
        <v>0</v>
      </c>
      <c r="J91" s="891">
        <f t="shared" si="49"/>
        <v>0</v>
      </c>
      <c r="K91" s="544">
        <f t="shared" si="49"/>
        <v>0</v>
      </c>
      <c r="L91" s="892">
        <f t="shared" si="49"/>
        <v>0</v>
      </c>
      <c r="M91" s="543" t="e">
        <f t="shared" si="49"/>
        <v>#REF!</v>
      </c>
      <c r="N91" s="891" t="e">
        <f t="shared" si="49"/>
        <v>#REF!</v>
      </c>
      <c r="O91" s="544" t="e">
        <f t="shared" si="49"/>
        <v>#REF!</v>
      </c>
      <c r="P91" s="546" t="e">
        <f>IF(O91=0,0,Q91*1000/O91)</f>
        <v>#REF!</v>
      </c>
      <c r="Q91" s="891" t="e">
        <f t="shared" ref="Q91:W91" si="50">SUM(Q78:Q90)</f>
        <v>#REF!</v>
      </c>
      <c r="R91" s="544">
        <f t="shared" si="50"/>
        <v>0</v>
      </c>
      <c r="S91" s="891">
        <f t="shared" si="50"/>
        <v>0</v>
      </c>
      <c r="T91" s="544">
        <f t="shared" si="50"/>
        <v>0</v>
      </c>
      <c r="U91" s="891">
        <f t="shared" si="50"/>
        <v>0</v>
      </c>
      <c r="V91" s="544">
        <f t="shared" si="50"/>
        <v>0</v>
      </c>
      <c r="W91" s="892">
        <f t="shared" si="50"/>
        <v>0</v>
      </c>
      <c r="X91" s="543" t="e">
        <f>SUM(X78:X90)</f>
        <v>#REF!</v>
      </c>
      <c r="Y91" s="892" t="e">
        <f>SUM(Y78:Y90)</f>
        <v>#REF!</v>
      </c>
      <c r="Z91" s="546" t="e">
        <f t="shared" ref="Z91" si="51">IF(X91=0,0,Y91*1000/X91)</f>
        <v>#REF!</v>
      </c>
      <c r="AA91" s="543" t="e">
        <f>SUM(AA78:AA90)</f>
        <v>#REF!</v>
      </c>
      <c r="AB91" s="544">
        <f>IF(AD92=0,0,AC92/AD92*1000000)</f>
        <v>0</v>
      </c>
      <c r="AC91" s="891" t="e">
        <f>Y91+N91+Q91+S91+U91+W91-(D91+H91+J91+L91)</f>
        <v>#REF!</v>
      </c>
      <c r="AD91" s="548" t="e">
        <f>SUM(AD78:AD90)</f>
        <v>#REF!</v>
      </c>
      <c r="AE91" s="847"/>
      <c r="AG91" s="345" t="e">
        <f>SUM(AG78:AG90)</f>
        <v>#REF!</v>
      </c>
    </row>
    <row r="92" spans="1:39" ht="12" thickTop="1">
      <c r="AD92" s="352"/>
      <c r="AE92" s="850"/>
    </row>
    <row r="93" spans="1:39">
      <c r="I93" s="300"/>
      <c r="L93" s="526" t="s">
        <v>283</v>
      </c>
      <c r="AC93" s="1981"/>
      <c r="AD93" s="1981"/>
      <c r="AE93" s="849"/>
    </row>
    <row r="94" spans="1:39" ht="12" thickBot="1">
      <c r="A94" s="301">
        <f>+A71+1</f>
        <v>2023</v>
      </c>
      <c r="D94" s="305"/>
      <c r="AD94" s="1293" t="s">
        <v>541</v>
      </c>
    </row>
    <row r="95" spans="1:39" ht="11.1" customHeight="1" thickTop="1">
      <c r="A95" s="1985" t="s">
        <v>284</v>
      </c>
      <c r="B95" s="1988" t="s">
        <v>285</v>
      </c>
      <c r="C95" s="1989"/>
      <c r="D95" s="1989"/>
      <c r="E95" s="1990"/>
      <c r="F95" s="1990"/>
      <c r="G95" s="1991" t="s">
        <v>245</v>
      </c>
      <c r="H95" s="1992"/>
      <c r="I95" s="1992"/>
      <c r="J95" s="1992"/>
      <c r="K95" s="1992"/>
      <c r="L95" s="1993"/>
      <c r="M95" s="1991" t="s">
        <v>250</v>
      </c>
      <c r="N95" s="1998"/>
      <c r="O95" s="1998"/>
      <c r="P95" s="1998"/>
      <c r="Q95" s="1998"/>
      <c r="R95" s="1998"/>
      <c r="S95" s="1998"/>
      <c r="T95" s="1998"/>
      <c r="U95" s="1998"/>
      <c r="V95" s="1998"/>
      <c r="W95" s="1999"/>
      <c r="X95" s="1988" t="s">
        <v>286</v>
      </c>
      <c r="Y95" s="1989"/>
      <c r="Z95" s="2000"/>
      <c r="AA95" s="1973" t="s">
        <v>287</v>
      </c>
      <c r="AB95" s="1975" t="s">
        <v>288</v>
      </c>
      <c r="AC95" s="1977" t="s">
        <v>289</v>
      </c>
      <c r="AD95" s="1979" t="s">
        <v>290</v>
      </c>
      <c r="AE95" s="844"/>
      <c r="AF95" s="1983" t="s">
        <v>408</v>
      </c>
      <c r="AG95" s="1984" t="s">
        <v>291</v>
      </c>
    </row>
    <row r="96" spans="1:39" ht="57" customHeight="1">
      <c r="A96" s="1986"/>
      <c r="B96" s="2001" t="s">
        <v>292</v>
      </c>
      <c r="C96" s="2002"/>
      <c r="D96" s="1995" t="s">
        <v>242</v>
      </c>
      <c r="E96" s="1976" t="s">
        <v>293</v>
      </c>
      <c r="F96" s="2005" t="s">
        <v>294</v>
      </c>
      <c r="G96" s="2001" t="s">
        <v>295</v>
      </c>
      <c r="H96" s="2007"/>
      <c r="I96" s="2008" t="s">
        <v>296</v>
      </c>
      <c r="J96" s="2008"/>
      <c r="K96" s="2008" t="s">
        <v>297</v>
      </c>
      <c r="L96" s="2009"/>
      <c r="M96" s="1994" t="s">
        <v>298</v>
      </c>
      <c r="N96" s="2008"/>
      <c r="O96" s="2008" t="s">
        <v>299</v>
      </c>
      <c r="P96" s="2008"/>
      <c r="Q96" s="2008"/>
      <c r="R96" s="2008" t="s">
        <v>300</v>
      </c>
      <c r="S96" s="2008"/>
      <c r="T96" s="2010" t="s">
        <v>301</v>
      </c>
      <c r="U96" s="2010"/>
      <c r="V96" s="2008" t="s">
        <v>302</v>
      </c>
      <c r="W96" s="2009"/>
      <c r="X96" s="1994" t="s">
        <v>292</v>
      </c>
      <c r="Y96" s="1995" t="s">
        <v>242</v>
      </c>
      <c r="Z96" s="1996" t="s">
        <v>293</v>
      </c>
      <c r="AA96" s="1974"/>
      <c r="AB96" s="1976"/>
      <c r="AC96" s="1978"/>
      <c r="AD96" s="1980"/>
      <c r="AE96" s="844"/>
      <c r="AF96" s="1983"/>
      <c r="AG96" s="1984"/>
    </row>
    <row r="97" spans="1:39" ht="60.75" customHeight="1">
      <c r="A97" s="1987"/>
      <c r="B97" s="447" t="s">
        <v>83</v>
      </c>
      <c r="C97" s="448" t="s">
        <v>303</v>
      </c>
      <c r="D97" s="2003"/>
      <c r="E97" s="2004"/>
      <c r="F97" s="2006"/>
      <c r="G97" s="447" t="s">
        <v>292</v>
      </c>
      <c r="H97" s="446" t="s">
        <v>242</v>
      </c>
      <c r="I97" s="445" t="s">
        <v>292</v>
      </c>
      <c r="J97" s="446" t="s">
        <v>242</v>
      </c>
      <c r="K97" s="445" t="s">
        <v>292</v>
      </c>
      <c r="L97" s="308" t="s">
        <v>242</v>
      </c>
      <c r="M97" s="447" t="s">
        <v>292</v>
      </c>
      <c r="N97" s="446" t="s">
        <v>242</v>
      </c>
      <c r="O97" s="445" t="s">
        <v>292</v>
      </c>
      <c r="P97" s="445" t="s">
        <v>304</v>
      </c>
      <c r="Q97" s="446" t="s">
        <v>242</v>
      </c>
      <c r="R97" s="445" t="s">
        <v>292</v>
      </c>
      <c r="S97" s="446" t="s">
        <v>242</v>
      </c>
      <c r="T97" s="445" t="s">
        <v>292</v>
      </c>
      <c r="U97" s="446" t="s">
        <v>242</v>
      </c>
      <c r="V97" s="445" t="s">
        <v>292</v>
      </c>
      <c r="W97" s="308" t="s">
        <v>242</v>
      </c>
      <c r="X97" s="1994"/>
      <c r="Y97" s="1995"/>
      <c r="Z97" s="1997"/>
      <c r="AA97" s="1974"/>
      <c r="AB97" s="1976"/>
      <c r="AC97" s="1978"/>
      <c r="AD97" s="1980"/>
      <c r="AE97" s="844"/>
      <c r="AF97" s="1983"/>
      <c r="AG97" s="1984"/>
    </row>
    <row r="98" spans="1:39" ht="12" thickBot="1">
      <c r="A98" s="527" t="s">
        <v>305</v>
      </c>
      <c r="B98" s="309">
        <v>1</v>
      </c>
      <c r="C98" s="310">
        <v>2</v>
      </c>
      <c r="D98" s="310">
        <v>3</v>
      </c>
      <c r="E98" s="311"/>
      <c r="F98" s="311">
        <v>4</v>
      </c>
      <c r="G98" s="309">
        <v>5</v>
      </c>
      <c r="H98" s="310">
        <v>6</v>
      </c>
      <c r="I98" s="310">
        <v>7</v>
      </c>
      <c r="J98" s="310">
        <v>8</v>
      </c>
      <c r="K98" s="310">
        <v>9</v>
      </c>
      <c r="L98" s="311">
        <v>10</v>
      </c>
      <c r="M98" s="309">
        <v>11</v>
      </c>
      <c r="N98" s="310">
        <v>12</v>
      </c>
      <c r="O98" s="310">
        <v>13</v>
      </c>
      <c r="P98" s="310">
        <v>14</v>
      </c>
      <c r="Q98" s="310">
        <v>15</v>
      </c>
      <c r="R98" s="310">
        <v>16</v>
      </c>
      <c r="S98" s="310">
        <v>17</v>
      </c>
      <c r="T98" s="310">
        <v>18</v>
      </c>
      <c r="U98" s="310">
        <v>19</v>
      </c>
      <c r="V98" s="310">
        <v>20</v>
      </c>
      <c r="W98" s="311">
        <v>21</v>
      </c>
      <c r="X98" s="309">
        <v>22</v>
      </c>
      <c r="Y98" s="310">
        <v>23</v>
      </c>
      <c r="Z98" s="312"/>
      <c r="AA98" s="309">
        <v>24</v>
      </c>
      <c r="AB98" s="310">
        <v>25</v>
      </c>
      <c r="AC98" s="310">
        <v>26</v>
      </c>
      <c r="AD98" s="528">
        <v>27</v>
      </c>
      <c r="AE98" s="845"/>
      <c r="AF98" s="1983"/>
      <c r="AG98" s="1984"/>
    </row>
    <row r="99" spans="1:39" ht="12" thickBot="1">
      <c r="A99" s="529"/>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530"/>
      <c r="AE99" s="845"/>
      <c r="AF99" s="1983"/>
      <c r="AG99" s="1984"/>
    </row>
    <row r="100" spans="1:39" ht="12" thickBot="1">
      <c r="A100" s="531" t="s">
        <v>306</v>
      </c>
      <c r="B100" s="314"/>
      <c r="C100" s="314"/>
      <c r="D100" s="315"/>
      <c r="E100" s="314"/>
      <c r="F100" s="314"/>
      <c r="G100" s="314"/>
      <c r="H100" s="315"/>
      <c r="I100" s="314"/>
      <c r="J100" s="315"/>
      <c r="K100" s="314"/>
      <c r="L100" s="315"/>
      <c r="M100" s="314"/>
      <c r="N100" s="315"/>
      <c r="O100" s="314"/>
      <c r="P100" s="314"/>
      <c r="Q100" s="315"/>
      <c r="R100" s="314"/>
      <c r="S100" s="315"/>
      <c r="T100" s="314"/>
      <c r="U100" s="315"/>
      <c r="V100" s="314"/>
      <c r="W100" s="315"/>
      <c r="X100" s="314"/>
      <c r="Y100" s="315"/>
      <c r="Z100" s="314"/>
      <c r="AA100" s="314"/>
      <c r="AB100" s="314"/>
      <c r="AC100" s="316"/>
      <c r="AD100" s="532"/>
      <c r="AE100" s="846"/>
      <c r="AF100" s="1983"/>
      <c r="AG100" s="1984"/>
      <c r="AH100" s="300" t="e">
        <f>+AG101+AG102</f>
        <v>#REF!</v>
      </c>
    </row>
    <row r="101" spans="1:39">
      <c r="A101" s="533" t="s">
        <v>244</v>
      </c>
      <c r="B101" s="317" t="e">
        <f>+'КРМД-23'!B$6</f>
        <v>#REF!</v>
      </c>
      <c r="C101" s="318">
        <f>'[59]КРМД-20'!$C$6</f>
        <v>0</v>
      </c>
      <c r="D101" s="348" t="e">
        <f t="shared" ref="D101:D113" si="52">Y78</f>
        <v>#REF!</v>
      </c>
      <c r="E101" s="320" t="e">
        <f t="shared" ref="E101:E113" si="53">IF(B101=0,0,D101*1000/B101)</f>
        <v>#REF!</v>
      </c>
      <c r="F101" s="321" t="e">
        <f>+'КРМД-23'!E$6</f>
        <v>#REF!</v>
      </c>
      <c r="G101" s="317">
        <f>'КРМД-23'!R$7</f>
        <v>0</v>
      </c>
      <c r="H101" s="887"/>
      <c r="I101" s="318">
        <f>'КРМД-23'!$R$8</f>
        <v>0</v>
      </c>
      <c r="J101" s="322"/>
      <c r="K101" s="318">
        <f>'КРМД-23'!R$9</f>
        <v>0</v>
      </c>
      <c r="L101" s="323"/>
      <c r="M101" s="317">
        <f>'КРМД-23'!R$11</f>
        <v>0</v>
      </c>
      <c r="N101" s="322"/>
      <c r="O101" s="318">
        <f>'КРМД-23'!R$12</f>
        <v>0</v>
      </c>
      <c r="P101" s="320">
        <f t="shared" ref="P101:P113" si="54">IF(O101=0,0,Q101*1000/O101)</f>
        <v>0</v>
      </c>
      <c r="Q101" s="322"/>
      <c r="R101" s="318">
        <f>'КРМД-23'!R$13</f>
        <v>0</v>
      </c>
      <c r="S101" s="322"/>
      <c r="T101" s="318">
        <f>'КРМД-23'!R$14</f>
        <v>0</v>
      </c>
      <c r="U101" s="322"/>
      <c r="V101" s="318">
        <f>'КРМД-23'!R$15</f>
        <v>0</v>
      </c>
      <c r="W101" s="323"/>
      <c r="X101" s="324" t="e">
        <f>'КРМД-23'!R$6</f>
        <v>#REF!</v>
      </c>
      <c r="Y101" s="894" t="e">
        <f>X101*0.46</f>
        <v>#REF!</v>
      </c>
      <c r="Z101" s="320" t="e">
        <f t="shared" ref="Z101:Z107" si="55">IF(X101=0,0,Y101*1000/X101)</f>
        <v>#REF!</v>
      </c>
      <c r="AA101" s="317" t="e">
        <f t="shared" ref="AA101:AA113" si="56">AD101/366</f>
        <v>#REF!</v>
      </c>
      <c r="AB101" s="318" t="e">
        <f>IF(AD101=0,0,AC101/AD101*1000000)</f>
        <v>#REF!</v>
      </c>
      <c r="AC101" s="899" t="e">
        <f t="shared" ref="AC101:AC112" si="57">Y101+N101+Q101+S101+U101+W101-(D101+H101+J101+L101)</f>
        <v>#REF!</v>
      </c>
      <c r="AD101" s="534" t="e">
        <f>'КРМД-23'!R$16</f>
        <v>#REF!</v>
      </c>
      <c r="AE101" s="847"/>
      <c r="AF101" s="851">
        <v>0.78</v>
      </c>
      <c r="AG101" s="852" t="e">
        <f>+B101*AF101</f>
        <v>#REF!</v>
      </c>
    </row>
    <row r="102" spans="1:39">
      <c r="A102" s="533" t="s">
        <v>260</v>
      </c>
      <c r="B102" s="317" t="e">
        <f>+'КРМД-23'!B$34</f>
        <v>#REF!</v>
      </c>
      <c r="C102" s="318">
        <f>'[59]КРМД-20'!$C$34</f>
        <v>0</v>
      </c>
      <c r="D102" s="348" t="e">
        <f t="shared" si="52"/>
        <v>#REF!</v>
      </c>
      <c r="E102" s="320" t="e">
        <f t="shared" si="53"/>
        <v>#REF!</v>
      </c>
      <c r="F102" s="321" t="e">
        <f>+'КРМД-23'!E$34</f>
        <v>#REF!</v>
      </c>
      <c r="G102" s="317" t="e">
        <f>'КРМД-23'!R$35</f>
        <v>#REF!</v>
      </c>
      <c r="H102" s="887" t="e">
        <f>N105</f>
        <v>#REF!</v>
      </c>
      <c r="I102" s="318">
        <f>'КРМД-23'!R$36</f>
        <v>0</v>
      </c>
      <c r="J102" s="322"/>
      <c r="K102" s="318">
        <f>'КРМД-23'!R$37</f>
        <v>0</v>
      </c>
      <c r="L102" s="323"/>
      <c r="M102" s="317">
        <f>'КРМД-23'!R$39</f>
        <v>0</v>
      </c>
      <c r="N102" s="893">
        <f>M102*0.35</f>
        <v>0</v>
      </c>
      <c r="O102" s="318">
        <f>'КРМД-23'!R$40</f>
        <v>0</v>
      </c>
      <c r="P102" s="320">
        <f t="shared" si="54"/>
        <v>0</v>
      </c>
      <c r="Q102" s="322"/>
      <c r="R102" s="318">
        <f>'КРМД-23'!R$41</f>
        <v>0</v>
      </c>
      <c r="S102" s="322"/>
      <c r="T102" s="318">
        <f>'КРМД-23'!R$42</f>
        <v>0</v>
      </c>
      <c r="U102" s="322"/>
      <c r="V102" s="318">
        <f>'КРМД-23'!R$43</f>
        <v>0</v>
      </c>
      <c r="W102" s="323"/>
      <c r="X102" s="317" t="e">
        <f>'КРМД-23'!R$34</f>
        <v>#REF!</v>
      </c>
      <c r="Y102" s="894" t="e">
        <f>X102*0.35</f>
        <v>#REF!</v>
      </c>
      <c r="Z102" s="320" t="e">
        <f t="shared" si="55"/>
        <v>#REF!</v>
      </c>
      <c r="AA102" s="317" t="e">
        <f t="shared" si="56"/>
        <v>#REF!</v>
      </c>
      <c r="AB102" s="318" t="e">
        <f>IF(AD102=0,0,AC102/AD102*1000000)</f>
        <v>#REF!</v>
      </c>
      <c r="AC102" s="899" t="e">
        <f t="shared" si="57"/>
        <v>#REF!</v>
      </c>
      <c r="AD102" s="535" t="e">
        <f>'КРМД-23'!R$44</f>
        <v>#REF!</v>
      </c>
      <c r="AE102" s="847"/>
      <c r="AF102" s="853">
        <v>1</v>
      </c>
      <c r="AG102" s="852" t="e">
        <f t="shared" ref="AG102:AG113" si="58">+B102*AF102</f>
        <v>#REF!</v>
      </c>
    </row>
    <row r="103" spans="1:39" ht="20.25" customHeight="1">
      <c r="A103" s="533" t="s">
        <v>258</v>
      </c>
      <c r="B103" s="317" t="e">
        <f>+'КРМД-23'!B$20</f>
        <v>#REF!</v>
      </c>
      <c r="C103" s="318">
        <f>'[59]КРМД-20'!$C$20</f>
        <v>0</v>
      </c>
      <c r="D103" s="348" t="e">
        <f t="shared" si="52"/>
        <v>#REF!</v>
      </c>
      <c r="E103" s="320" t="e">
        <f t="shared" si="53"/>
        <v>#REF!</v>
      </c>
      <c r="F103" s="321" t="e">
        <f>+'КРМД-23'!E$20</f>
        <v>#REF!</v>
      </c>
      <c r="G103" s="317">
        <f>'КРМД-23'!$R$21</f>
        <v>0</v>
      </c>
      <c r="H103" s="887">
        <f>N107</f>
        <v>0</v>
      </c>
      <c r="I103" s="318">
        <f>'КРМД-23'!R$22</f>
        <v>0</v>
      </c>
      <c r="J103" s="322"/>
      <c r="K103" s="318">
        <f>'КРМД-23'!R$23</f>
        <v>0</v>
      </c>
      <c r="L103" s="323"/>
      <c r="M103" s="317">
        <f>'КРМД-23'!R$25</f>
        <v>0</v>
      </c>
      <c r="N103" s="887">
        <f>M103*0.64</f>
        <v>0</v>
      </c>
      <c r="O103" s="318">
        <f>'КРМД-23'!R$26</f>
        <v>0</v>
      </c>
      <c r="P103" s="320">
        <f t="shared" si="54"/>
        <v>0</v>
      </c>
      <c r="Q103" s="887"/>
      <c r="R103" s="318">
        <f>'КРМД-23'!R$27</f>
        <v>0</v>
      </c>
      <c r="S103" s="322"/>
      <c r="T103" s="318">
        <f>'КРМД-23'!R$28</f>
        <v>0</v>
      </c>
      <c r="U103" s="322"/>
      <c r="V103" s="318">
        <f>'КРМД-23'!R$29</f>
        <v>0</v>
      </c>
      <c r="W103" s="323"/>
      <c r="X103" s="317" t="e">
        <f>'КРМД-23'!R$20</f>
        <v>#REF!</v>
      </c>
      <c r="Y103" s="894" t="e">
        <f>X103*0.4</f>
        <v>#REF!</v>
      </c>
      <c r="Z103" s="320" t="e">
        <f t="shared" si="55"/>
        <v>#REF!</v>
      </c>
      <c r="AA103" s="317" t="e">
        <f t="shared" si="56"/>
        <v>#REF!</v>
      </c>
      <c r="AB103" s="318" t="e">
        <f>IF(AD103=0,0,AC103/AD103*1000000)</f>
        <v>#REF!</v>
      </c>
      <c r="AC103" s="899" t="e">
        <f t="shared" si="57"/>
        <v>#REF!</v>
      </c>
      <c r="AD103" s="535" t="e">
        <f>'КРМД-23'!R$30</f>
        <v>#REF!</v>
      </c>
      <c r="AE103" s="847"/>
      <c r="AF103" s="851">
        <v>1</v>
      </c>
      <c r="AG103" s="852" t="e">
        <f t="shared" si="58"/>
        <v>#REF!</v>
      </c>
    </row>
    <row r="104" spans="1:39" ht="12" thickBot="1">
      <c r="A104" s="536" t="s">
        <v>261</v>
      </c>
      <c r="B104" s="328" t="e">
        <f>+'КРМД-23'!B$48</f>
        <v>#REF!</v>
      </c>
      <c r="C104" s="329">
        <f>'[59]КРМД-20'!$C$48</f>
        <v>0</v>
      </c>
      <c r="D104" s="349" t="e">
        <f t="shared" si="52"/>
        <v>#REF!</v>
      </c>
      <c r="E104" s="331" t="e">
        <f t="shared" si="53"/>
        <v>#REF!</v>
      </c>
      <c r="F104" s="321">
        <f>+'КРМД-23'!E$48</f>
        <v>0</v>
      </c>
      <c r="G104" s="328">
        <f>'КРМД-23'!R$49</f>
        <v>0</v>
      </c>
      <c r="H104" s="888">
        <f>N101+N102+N103</f>
        <v>0</v>
      </c>
      <c r="I104" s="329">
        <f>'КРМД-23'!R$50</f>
        <v>0</v>
      </c>
      <c r="J104" s="332"/>
      <c r="K104" s="329">
        <f>'КРМД-23'!R$51</f>
        <v>0</v>
      </c>
      <c r="L104" s="333"/>
      <c r="M104" s="328">
        <f>'КРМД-23'!R$53</f>
        <v>0</v>
      </c>
      <c r="N104" s="888"/>
      <c r="O104" s="329" t="e">
        <f>'КРМД-23'!R$54</f>
        <v>#REF!</v>
      </c>
      <c r="P104" s="331" t="e">
        <f t="shared" si="54"/>
        <v>#REF!</v>
      </c>
      <c r="Q104" s="888" t="e">
        <f>O104*0.37</f>
        <v>#REF!</v>
      </c>
      <c r="R104" s="329">
        <f>'КРМД-23'!R$55</f>
        <v>0</v>
      </c>
      <c r="S104" s="332"/>
      <c r="T104" s="329">
        <f>'КРМД-23'!R$56</f>
        <v>0</v>
      </c>
      <c r="U104" s="332"/>
      <c r="V104" s="329">
        <f>'КРМД-23'!R$57</f>
        <v>0</v>
      </c>
      <c r="W104" s="333"/>
      <c r="X104" s="328" t="e">
        <f>'КРМД-23'!R$48</f>
        <v>#REF!</v>
      </c>
      <c r="Y104" s="897" t="e">
        <f>X104*0.45</f>
        <v>#REF!</v>
      </c>
      <c r="Z104" s="331" t="e">
        <f t="shared" si="55"/>
        <v>#REF!</v>
      </c>
      <c r="AA104" s="328" t="e">
        <f t="shared" si="56"/>
        <v>#REF!</v>
      </c>
      <c r="AB104" s="329" t="e">
        <f>IF(AD104=0,0,AC104/AD104*1000000)</f>
        <v>#REF!</v>
      </c>
      <c r="AC104" s="900" t="e">
        <f t="shared" si="57"/>
        <v>#REF!</v>
      </c>
      <c r="AD104" s="537" t="e">
        <f>'КРМД-23'!R$58</f>
        <v>#REF!</v>
      </c>
      <c r="AE104" s="847"/>
      <c r="AF104" s="851">
        <v>0.5</v>
      </c>
      <c r="AG104" s="852" t="e">
        <f t="shared" si="58"/>
        <v>#REF!</v>
      </c>
      <c r="AH104" s="856" t="e">
        <f>SUM(AG104:AG113)</f>
        <v>#REF!</v>
      </c>
    </row>
    <row r="105" spans="1:39">
      <c r="A105" s="538" t="s">
        <v>263</v>
      </c>
      <c r="B105" s="324" t="e">
        <f>+'КРМД-23'!B$62</f>
        <v>#REF!</v>
      </c>
      <c r="C105" s="326">
        <f>'[59]КРМД-20'!$C$62</f>
        <v>0</v>
      </c>
      <c r="D105" s="350" t="e">
        <f t="shared" si="52"/>
        <v>#REF!</v>
      </c>
      <c r="E105" s="325" t="e">
        <f t="shared" si="53"/>
        <v>#REF!</v>
      </c>
      <c r="F105" s="321" t="e">
        <f>+'КРМД-23'!E$62</f>
        <v>#REF!</v>
      </c>
      <c r="G105" s="324" t="e">
        <f>'КРМД-23'!R$63</f>
        <v>#REF!</v>
      </c>
      <c r="H105" s="889" t="e">
        <f>N106</f>
        <v>#REF!</v>
      </c>
      <c r="I105" s="326">
        <f>'КРМД-23'!R$64</f>
        <v>0</v>
      </c>
      <c r="J105" s="335"/>
      <c r="K105" s="326">
        <f>'КРМД-23'!R$65</f>
        <v>0</v>
      </c>
      <c r="L105" s="336"/>
      <c r="M105" s="324" t="e">
        <f>'КРМД-23'!R$67</f>
        <v>#REF!</v>
      </c>
      <c r="N105" s="889" t="e">
        <f>M105*0.35</f>
        <v>#REF!</v>
      </c>
      <c r="O105" s="326">
        <f>'КРМД-23'!R$68</f>
        <v>0</v>
      </c>
      <c r="P105" s="325">
        <f t="shared" si="54"/>
        <v>0</v>
      </c>
      <c r="Q105" s="889">
        <f>O105*0.35</f>
        <v>0</v>
      </c>
      <c r="R105" s="326">
        <f>'КРМД-23'!R$69</f>
        <v>0</v>
      </c>
      <c r="S105" s="337"/>
      <c r="T105" s="326">
        <f>'КРМД-23'!R$70</f>
        <v>0</v>
      </c>
      <c r="U105" s="337"/>
      <c r="V105" s="326">
        <f>'КРМД-23'!R$71</f>
        <v>0</v>
      </c>
      <c r="W105" s="338"/>
      <c r="X105" s="324" t="e">
        <f>'КРМД-23'!R$62</f>
        <v>#REF!</v>
      </c>
      <c r="Y105" s="896" t="e">
        <f>X105*0.35</f>
        <v>#REF!</v>
      </c>
      <c r="Z105" s="325" t="e">
        <f t="shared" si="55"/>
        <v>#REF!</v>
      </c>
      <c r="AA105" s="324" t="e">
        <f t="shared" si="56"/>
        <v>#REF!</v>
      </c>
      <c r="AB105" s="326" t="e">
        <f>IF(AD105=0,0,AC105/AD105*1000000)</f>
        <v>#REF!</v>
      </c>
      <c r="AC105" s="898" t="e">
        <f t="shared" si="57"/>
        <v>#REF!</v>
      </c>
      <c r="AD105" s="534" t="e">
        <f>'КРМД-23'!R$72</f>
        <v>#REF!</v>
      </c>
      <c r="AE105" s="847"/>
      <c r="AF105" s="851">
        <v>0.61</v>
      </c>
      <c r="AG105" s="852" t="e">
        <f t="shared" si="58"/>
        <v>#REF!</v>
      </c>
      <c r="AH105" s="856"/>
    </row>
    <row r="106" spans="1:39">
      <c r="A106" s="533" t="s">
        <v>264</v>
      </c>
      <c r="B106" s="317" t="e">
        <f>+'КРМД-23'!B$76</f>
        <v>#REF!</v>
      </c>
      <c r="C106" s="318">
        <f>'[59]КРМД-20'!$C$76</f>
        <v>0</v>
      </c>
      <c r="D106" s="348" t="e">
        <f t="shared" si="52"/>
        <v>#REF!</v>
      </c>
      <c r="E106" s="320" t="e">
        <f t="shared" si="53"/>
        <v>#REF!</v>
      </c>
      <c r="F106" s="321" t="e">
        <f>+'КРМД-23'!E$76</f>
        <v>#REF!</v>
      </c>
      <c r="G106" s="317" t="e">
        <f>'КРМД-23'!R$77</f>
        <v>#REF!</v>
      </c>
      <c r="H106" s="887" t="e">
        <f t="shared" ref="H106:H111" si="59">N108</f>
        <v>#REF!</v>
      </c>
      <c r="I106" s="318">
        <f>'КРМД-23'!R$78</f>
        <v>0</v>
      </c>
      <c r="J106" s="322"/>
      <c r="K106" s="318">
        <f>'КРМД-23'!R$79</f>
        <v>0</v>
      </c>
      <c r="L106" s="323"/>
      <c r="M106" s="317" t="e">
        <f>'КРМД-23'!R$81</f>
        <v>#REF!</v>
      </c>
      <c r="N106" s="887" t="e">
        <f>M106*0.298</f>
        <v>#REF!</v>
      </c>
      <c r="O106" s="318">
        <f>'КРМД-23'!R$82</f>
        <v>0</v>
      </c>
      <c r="P106" s="320">
        <f t="shared" si="54"/>
        <v>0</v>
      </c>
      <c r="Q106" s="887"/>
      <c r="R106" s="318">
        <f>'КРМД-23'!R$83</f>
        <v>0</v>
      </c>
      <c r="S106" s="322"/>
      <c r="T106" s="318">
        <f>'КРМД-23'!R$84</f>
        <v>0</v>
      </c>
      <c r="U106" s="322"/>
      <c r="V106" s="318">
        <f>'КРМД-23'!R$85</f>
        <v>0</v>
      </c>
      <c r="W106" s="323"/>
      <c r="X106" s="317" t="e">
        <f>'КРМД-23'!R$76</f>
        <v>#REF!</v>
      </c>
      <c r="Y106" s="894" t="e">
        <f>X106*0.28</f>
        <v>#REF!</v>
      </c>
      <c r="Z106" s="320" t="e">
        <f t="shared" si="55"/>
        <v>#REF!</v>
      </c>
      <c r="AA106" s="317" t="e">
        <f t="shared" si="56"/>
        <v>#REF!</v>
      </c>
      <c r="AB106" s="318" t="e">
        <f>IF(AD106=0,0,AC106/AD106*100000)</f>
        <v>#REF!</v>
      </c>
      <c r="AC106" s="899" t="e">
        <f t="shared" si="57"/>
        <v>#REF!</v>
      </c>
      <c r="AD106" s="535" t="e">
        <f>'КРМД-23'!R$86</f>
        <v>#REF!</v>
      </c>
      <c r="AE106" s="847"/>
      <c r="AF106" s="851">
        <v>0.57999999999999996</v>
      </c>
      <c r="AG106" s="852" t="e">
        <f t="shared" si="58"/>
        <v>#REF!</v>
      </c>
      <c r="AH106" s="856"/>
    </row>
    <row r="107" spans="1:39">
      <c r="A107" s="533" t="s">
        <v>267</v>
      </c>
      <c r="B107" s="317" t="e">
        <f>+'КРМД-23'!B$118</f>
        <v>#REF!</v>
      </c>
      <c r="C107" s="318">
        <f>'[59]КРМД-20'!$C$118</f>
        <v>0</v>
      </c>
      <c r="D107" s="348" t="e">
        <f t="shared" si="52"/>
        <v>#REF!</v>
      </c>
      <c r="E107" s="320" t="e">
        <f t="shared" si="53"/>
        <v>#REF!</v>
      </c>
      <c r="F107" s="321">
        <f>+'КРМД-23'!E$118</f>
        <v>0</v>
      </c>
      <c r="G107" s="317" t="e">
        <f>'КРМД-23'!R$119</f>
        <v>#REF!</v>
      </c>
      <c r="H107" s="887" t="e">
        <f t="shared" si="59"/>
        <v>#REF!</v>
      </c>
      <c r="I107" s="318">
        <f>'КРМД-23'!R$120</f>
        <v>0</v>
      </c>
      <c r="J107" s="322"/>
      <c r="K107" s="318">
        <f>'КРМД-23'!R$121</f>
        <v>0</v>
      </c>
      <c r="L107" s="323"/>
      <c r="M107" s="317">
        <f>'КРМД-23'!R$123</f>
        <v>0</v>
      </c>
      <c r="N107" s="887"/>
      <c r="O107" s="318">
        <f>'КРМД-23'!R$124</f>
        <v>0</v>
      </c>
      <c r="P107" s="320">
        <f t="shared" si="54"/>
        <v>0</v>
      </c>
      <c r="Q107" s="887"/>
      <c r="R107" s="318">
        <f>'КРМД-23'!R$125</f>
        <v>0</v>
      </c>
      <c r="S107" s="322"/>
      <c r="T107" s="318">
        <f>'КРМД-23'!R$126</f>
        <v>0</v>
      </c>
      <c r="U107" s="322"/>
      <c r="V107" s="318">
        <f>'КРМД-23'!R$127</f>
        <v>0</v>
      </c>
      <c r="W107" s="323"/>
      <c r="X107" s="317" t="e">
        <f>'КРМД-23'!R$118</f>
        <v>#REF!</v>
      </c>
      <c r="Y107" s="894" t="e">
        <f>X107*0.3</f>
        <v>#REF!</v>
      </c>
      <c r="Z107" s="320" t="e">
        <f t="shared" si="55"/>
        <v>#REF!</v>
      </c>
      <c r="AA107" s="317" t="e">
        <f t="shared" si="56"/>
        <v>#REF!</v>
      </c>
      <c r="AB107" s="318" t="e">
        <f t="shared" ref="AB107:AB113" si="60">IF(AD107=0,0,AC107/AD107*1000000)</f>
        <v>#REF!</v>
      </c>
      <c r="AC107" s="899" t="e">
        <f t="shared" si="57"/>
        <v>#REF!</v>
      </c>
      <c r="AD107" s="535" t="e">
        <f>'КРМД-23'!R$128</f>
        <v>#REF!</v>
      </c>
      <c r="AE107" s="847"/>
      <c r="AF107" s="851">
        <v>0.57999999999999996</v>
      </c>
      <c r="AG107" s="852" t="e">
        <f t="shared" si="58"/>
        <v>#REF!</v>
      </c>
      <c r="AH107" s="856"/>
    </row>
    <row r="108" spans="1:39">
      <c r="A108" s="533" t="s">
        <v>265</v>
      </c>
      <c r="B108" s="317" t="e">
        <f>+'КРМД-23'!B$90</f>
        <v>#REF!</v>
      </c>
      <c r="C108" s="318">
        <f>'[59]КРМД-20'!$C$90</f>
        <v>0</v>
      </c>
      <c r="D108" s="348" t="e">
        <f t="shared" si="52"/>
        <v>#REF!</v>
      </c>
      <c r="E108" s="320" t="e">
        <f t="shared" si="53"/>
        <v>#REF!</v>
      </c>
      <c r="F108" s="321" t="e">
        <f>+'КРМД-23'!E$90</f>
        <v>#REF!</v>
      </c>
      <c r="G108" s="317" t="e">
        <f>'КРМД-23'!R$91</f>
        <v>#REF!</v>
      </c>
      <c r="H108" s="887" t="e">
        <f t="shared" si="59"/>
        <v>#REF!</v>
      </c>
      <c r="I108" s="318">
        <f>'КРМД-23'!R$92</f>
        <v>0</v>
      </c>
      <c r="J108" s="322"/>
      <c r="K108" s="318">
        <f>'КРМД-23'!R$93</f>
        <v>0</v>
      </c>
      <c r="L108" s="323"/>
      <c r="M108" s="317" t="e">
        <f>'КРМД-23'!R$95</f>
        <v>#REF!</v>
      </c>
      <c r="N108" s="887" t="e">
        <f>M108*0.28</f>
        <v>#REF!</v>
      </c>
      <c r="O108" s="318">
        <f>'КРМД-23'!R$96</f>
        <v>0</v>
      </c>
      <c r="P108" s="320">
        <f t="shared" si="54"/>
        <v>0</v>
      </c>
      <c r="Q108" s="887">
        <f>O108*0.298</f>
        <v>0</v>
      </c>
      <c r="R108" s="318">
        <f>'КРМД-23'!R$97</f>
        <v>0</v>
      </c>
      <c r="S108" s="887">
        <f>+R108*0.3</f>
        <v>0</v>
      </c>
      <c r="T108" s="318">
        <f>'КРМД-23'!R$98</f>
        <v>0</v>
      </c>
      <c r="U108" s="322"/>
      <c r="V108" s="318">
        <f>'КРМД-23'!R$99</f>
        <v>0</v>
      </c>
      <c r="W108" s="323"/>
      <c r="X108" s="317" t="e">
        <f>'КРМД-23'!R$90</f>
        <v>#REF!</v>
      </c>
      <c r="Y108" s="894" t="e">
        <f>X108*0.265</f>
        <v>#REF!</v>
      </c>
      <c r="Z108" s="320" t="e">
        <f>IF(X108=0,0,Y108*1000/X108)</f>
        <v>#REF!</v>
      </c>
      <c r="AA108" s="317" t="e">
        <f t="shared" si="56"/>
        <v>#REF!</v>
      </c>
      <c r="AB108" s="318" t="e">
        <f t="shared" si="60"/>
        <v>#REF!</v>
      </c>
      <c r="AC108" s="899" t="e">
        <f t="shared" si="57"/>
        <v>#REF!</v>
      </c>
      <c r="AD108" s="535" t="e">
        <f>'КРМД-23'!R$100</f>
        <v>#REF!</v>
      </c>
      <c r="AE108" s="847"/>
      <c r="AF108" s="851">
        <v>0.54</v>
      </c>
      <c r="AG108" s="852" t="e">
        <f t="shared" si="58"/>
        <v>#REF!</v>
      </c>
      <c r="AH108" s="856"/>
    </row>
    <row r="109" spans="1:39">
      <c r="A109" s="533" t="s">
        <v>268</v>
      </c>
      <c r="B109" s="317" t="e">
        <f>+'КРМД-23'!B$132</f>
        <v>#REF!</v>
      </c>
      <c r="C109" s="318">
        <f>'[59]КРМД-20'!$C$132</f>
        <v>0</v>
      </c>
      <c r="D109" s="348" t="e">
        <f t="shared" si="52"/>
        <v>#REF!</v>
      </c>
      <c r="E109" s="320" t="e">
        <f t="shared" si="53"/>
        <v>#REF!</v>
      </c>
      <c r="F109" s="321" t="e">
        <f>+'КРМД-23'!E$132</f>
        <v>#REF!</v>
      </c>
      <c r="G109" s="317" t="e">
        <f>'КРМД-23'!R$133</f>
        <v>#REF!</v>
      </c>
      <c r="H109" s="887" t="e">
        <f t="shared" si="59"/>
        <v>#REF!</v>
      </c>
      <c r="I109" s="318">
        <f>'КРМД-23'!R$134</f>
        <v>0</v>
      </c>
      <c r="J109" s="322"/>
      <c r="K109" s="318">
        <f>'КРМД-23'!R$135</f>
        <v>0</v>
      </c>
      <c r="L109" s="323"/>
      <c r="M109" s="317" t="e">
        <f>'КРМД-23'!R$137</f>
        <v>#REF!</v>
      </c>
      <c r="N109" s="887" t="e">
        <f>M109*0.25</f>
        <v>#REF!</v>
      </c>
      <c r="O109" s="318" t="e">
        <f>'КРМД-23'!R$138</f>
        <v>#REF!</v>
      </c>
      <c r="P109" s="320" t="e">
        <f t="shared" si="54"/>
        <v>#REF!</v>
      </c>
      <c r="Q109" s="887" t="e">
        <f>O109*0.257</f>
        <v>#REF!</v>
      </c>
      <c r="R109" s="318">
        <f>'КРМД-23'!R$139</f>
        <v>0</v>
      </c>
      <c r="S109" s="887"/>
      <c r="T109" s="318">
        <f>'КРМД-23'!R$140</f>
        <v>0</v>
      </c>
      <c r="U109" s="322"/>
      <c r="V109" s="318">
        <f>'КРМД-23'!R$141</f>
        <v>0</v>
      </c>
      <c r="W109" s="323"/>
      <c r="X109" s="317" t="e">
        <f>'КРМД-23'!R$132</f>
        <v>#REF!</v>
      </c>
      <c r="Y109" s="894" t="e">
        <f>X109*0.257</f>
        <v>#REF!</v>
      </c>
      <c r="Z109" s="320" t="e">
        <f t="shared" ref="Z109:Z113" si="61">IF(X109=0,0,Y109*1000/X109)</f>
        <v>#REF!</v>
      </c>
      <c r="AA109" s="317" t="e">
        <f t="shared" si="56"/>
        <v>#REF!</v>
      </c>
      <c r="AB109" s="318" t="e">
        <f t="shared" si="60"/>
        <v>#REF!</v>
      </c>
      <c r="AC109" s="899" t="e">
        <f t="shared" si="57"/>
        <v>#REF!</v>
      </c>
      <c r="AD109" s="535" t="e">
        <f>'КРМД-23'!R$142</f>
        <v>#REF!</v>
      </c>
      <c r="AE109" s="847"/>
      <c r="AF109" s="851">
        <v>0.54</v>
      </c>
      <c r="AG109" s="852" t="e">
        <f t="shared" si="58"/>
        <v>#REF!</v>
      </c>
      <c r="AH109" s="856"/>
    </row>
    <row r="110" spans="1:39">
      <c r="A110" s="533" t="s">
        <v>266</v>
      </c>
      <c r="B110" s="317" t="e">
        <f>+'КРМД-23'!B$104</f>
        <v>#REF!</v>
      </c>
      <c r="C110" s="318">
        <f>'[59]КРМД-20'!$C$104</f>
        <v>0</v>
      </c>
      <c r="D110" s="348" t="e">
        <f t="shared" si="52"/>
        <v>#REF!</v>
      </c>
      <c r="E110" s="320" t="e">
        <f t="shared" si="53"/>
        <v>#REF!</v>
      </c>
      <c r="F110" s="321" t="e">
        <f>+'КРМД-23'!E$104</f>
        <v>#REF!</v>
      </c>
      <c r="G110" s="317" t="e">
        <f>'КРМД-23'!R$105</f>
        <v>#REF!</v>
      </c>
      <c r="H110" s="887" t="e">
        <f t="shared" si="59"/>
        <v>#REF!</v>
      </c>
      <c r="I110" s="318">
        <f>'КРМД-23'!R$106</f>
        <v>0</v>
      </c>
      <c r="J110" s="322"/>
      <c r="K110" s="318">
        <f>'КРМД-23'!R$107</f>
        <v>0</v>
      </c>
      <c r="L110" s="323"/>
      <c r="M110" s="317" t="e">
        <f>'КРМД-23'!R$109</f>
        <v>#REF!</v>
      </c>
      <c r="N110" s="887" t="e">
        <f>M110*0.22</f>
        <v>#REF!</v>
      </c>
      <c r="O110" s="318">
        <f>'КРМД-23'!R$110</f>
        <v>0</v>
      </c>
      <c r="P110" s="320">
        <f t="shared" si="54"/>
        <v>0</v>
      </c>
      <c r="Q110" s="887">
        <f>O110*0.23</f>
        <v>0</v>
      </c>
      <c r="R110" s="318">
        <f>'КРМД-23'!R$111</f>
        <v>0</v>
      </c>
      <c r="S110" s="887">
        <f>R110*0.265</f>
        <v>0</v>
      </c>
      <c r="T110" s="318">
        <f>'КРМД-23'!R$112</f>
        <v>0</v>
      </c>
      <c r="U110" s="887">
        <f>T110*0.155</f>
        <v>0</v>
      </c>
      <c r="V110" s="318">
        <f>'КРМД-23'!R$113</f>
        <v>0</v>
      </c>
      <c r="W110" s="323"/>
      <c r="X110" s="317" t="e">
        <f>'КРМД-23'!R$104</f>
        <v>#REF!</v>
      </c>
      <c r="Y110" s="894" t="e">
        <f>X110*0.13</f>
        <v>#REF!</v>
      </c>
      <c r="Z110" s="320" t="e">
        <f t="shared" si="61"/>
        <v>#REF!</v>
      </c>
      <c r="AA110" s="317" t="e">
        <f t="shared" si="56"/>
        <v>#REF!</v>
      </c>
      <c r="AB110" s="318" t="e">
        <f t="shared" si="60"/>
        <v>#REF!</v>
      </c>
      <c r="AC110" s="899" t="e">
        <f t="shared" si="57"/>
        <v>#REF!</v>
      </c>
      <c r="AD110" s="535" t="e">
        <f>'КРМД-23'!R$114</f>
        <v>#REF!</v>
      </c>
      <c r="AE110" s="847"/>
      <c r="AF110" s="851">
        <v>0.35</v>
      </c>
      <c r="AG110" s="852" t="e">
        <f t="shared" si="58"/>
        <v>#REF!</v>
      </c>
      <c r="AH110" s="856"/>
    </row>
    <row r="111" spans="1:39">
      <c r="A111" s="533" t="s">
        <v>269</v>
      </c>
      <c r="B111" s="317" t="e">
        <f>+'КРМД-23'!B$146</f>
        <v>#REF!</v>
      </c>
      <c r="C111" s="318">
        <f>'[59]КРМД-20'!$C$146</f>
        <v>0</v>
      </c>
      <c r="D111" s="348" t="e">
        <f t="shared" si="52"/>
        <v>#REF!</v>
      </c>
      <c r="E111" s="320" t="e">
        <f t="shared" si="53"/>
        <v>#REF!</v>
      </c>
      <c r="F111" s="321" t="e">
        <f>+'КРМД-23'!E$146</f>
        <v>#REF!</v>
      </c>
      <c r="G111" s="317" t="e">
        <f>'КРМД-23'!R$147</f>
        <v>#REF!</v>
      </c>
      <c r="H111" s="887" t="e">
        <f t="shared" si="59"/>
        <v>#REF!</v>
      </c>
      <c r="I111" s="318">
        <f>'КРМД-23'!R$148</f>
        <v>0</v>
      </c>
      <c r="J111" s="322"/>
      <c r="K111" s="318">
        <f>'КРМД-23'!R$149</f>
        <v>0</v>
      </c>
      <c r="L111" s="323"/>
      <c r="M111" s="317" t="e">
        <f>'КРМД-23'!R$151</f>
        <v>#REF!</v>
      </c>
      <c r="N111" s="887" t="e">
        <f>M111*0.24</f>
        <v>#REF!</v>
      </c>
      <c r="O111" s="318">
        <f>'КРМД-23'!R$152</f>
        <v>0</v>
      </c>
      <c r="P111" s="320">
        <f t="shared" si="54"/>
        <v>0</v>
      </c>
      <c r="Q111" s="887">
        <f>O111*0.25</f>
        <v>0</v>
      </c>
      <c r="R111" s="318">
        <f>'КРМД-23'!R$153</f>
        <v>0</v>
      </c>
      <c r="S111" s="887"/>
      <c r="T111" s="318">
        <f>'КРМД-23'!R$154</f>
        <v>0</v>
      </c>
      <c r="U111" s="887"/>
      <c r="V111" s="318">
        <f>'КРМД-23'!R$155</f>
        <v>0</v>
      </c>
      <c r="W111" s="323"/>
      <c r="X111" s="317" t="e">
        <f>'КРМД-23'!R$146</f>
        <v>#REF!</v>
      </c>
      <c r="Y111" s="894" t="e">
        <f>X111*0.15</f>
        <v>#REF!</v>
      </c>
      <c r="Z111" s="320" t="e">
        <f t="shared" si="61"/>
        <v>#REF!</v>
      </c>
      <c r="AA111" s="317" t="e">
        <f t="shared" si="56"/>
        <v>#REF!</v>
      </c>
      <c r="AB111" s="318" t="e">
        <f t="shared" si="60"/>
        <v>#REF!</v>
      </c>
      <c r="AC111" s="899" t="e">
        <f t="shared" si="57"/>
        <v>#REF!</v>
      </c>
      <c r="AD111" s="535" t="e">
        <f>'КРМД-23'!R$156</f>
        <v>#REF!</v>
      </c>
      <c r="AE111" s="847"/>
      <c r="AF111" s="851">
        <v>0.35</v>
      </c>
      <c r="AG111" s="852" t="e">
        <f t="shared" si="58"/>
        <v>#REF!</v>
      </c>
      <c r="AH111" s="856"/>
    </row>
    <row r="112" spans="1:39" ht="22.5">
      <c r="A112" s="539" t="s">
        <v>270</v>
      </c>
      <c r="B112" s="317"/>
      <c r="C112" s="318">
        <f>'[59]КРМД-20'!$C$160</f>
        <v>0</v>
      </c>
      <c r="D112" s="348" t="e">
        <f t="shared" si="52"/>
        <v>#REF!</v>
      </c>
      <c r="E112" s="320">
        <f t="shared" si="53"/>
        <v>0</v>
      </c>
      <c r="F112" s="321">
        <f>+'КРМД-23'!E$17</f>
        <v>0</v>
      </c>
      <c r="G112" s="317" t="e">
        <f>'КРМД-23'!R$161</f>
        <v>#REF!</v>
      </c>
      <c r="H112" s="887" t="e">
        <f>G112*0.022</f>
        <v>#REF!</v>
      </c>
      <c r="I112" s="318">
        <f>'КРМД-23'!R$162</f>
        <v>0</v>
      </c>
      <c r="J112" s="322"/>
      <c r="K112" s="318">
        <f>'КРМД-23'!R$163</f>
        <v>0</v>
      </c>
      <c r="L112" s="323"/>
      <c r="M112" s="317" t="e">
        <f>'КРМД-23'!R$165</f>
        <v>#REF!</v>
      </c>
      <c r="N112" s="887" t="e">
        <f>M112*0.13</f>
        <v>#REF!</v>
      </c>
      <c r="O112" s="318">
        <f>'КРМД-23'!R$166</f>
        <v>0</v>
      </c>
      <c r="P112" s="320">
        <f t="shared" si="54"/>
        <v>0</v>
      </c>
      <c r="Q112" s="887"/>
      <c r="R112" s="318">
        <f>'КРМД-23'!R$167</f>
        <v>0</v>
      </c>
      <c r="S112" s="887">
        <f>R112*0.08</f>
        <v>0</v>
      </c>
      <c r="T112" s="318">
        <f>'КРМД-23'!R$168</f>
        <v>0</v>
      </c>
      <c r="U112" s="887">
        <f>T112*0.15</f>
        <v>0</v>
      </c>
      <c r="V112" s="318">
        <f>'КРМД-23'!R$169</f>
        <v>0</v>
      </c>
      <c r="W112" s="894">
        <f>V112*0.03</f>
        <v>0</v>
      </c>
      <c r="X112" s="317" t="e">
        <f>'КРМД-23'!R$160</f>
        <v>#REF!</v>
      </c>
      <c r="Y112" s="894" t="e">
        <f>X112*0.1</f>
        <v>#REF!</v>
      </c>
      <c r="Z112" s="320" t="e">
        <f t="shared" si="61"/>
        <v>#REF!</v>
      </c>
      <c r="AA112" s="317" t="e">
        <f t="shared" si="56"/>
        <v>#REF!</v>
      </c>
      <c r="AB112" s="318" t="e">
        <f t="shared" si="60"/>
        <v>#REF!</v>
      </c>
      <c r="AC112" s="899" t="e">
        <f t="shared" si="57"/>
        <v>#REF!</v>
      </c>
      <c r="AD112" s="535" t="e">
        <f>'КРМД-23'!R$170</f>
        <v>#REF!</v>
      </c>
      <c r="AE112" s="847"/>
      <c r="AF112" s="851">
        <v>0.125</v>
      </c>
      <c r="AG112" s="852">
        <f t="shared" si="58"/>
        <v>0</v>
      </c>
      <c r="AH112" s="856"/>
      <c r="AI112" s="1982" t="s">
        <v>77</v>
      </c>
      <c r="AJ112" s="1982"/>
      <c r="AK112" s="1982"/>
      <c r="AL112" s="1982"/>
      <c r="AM112" s="1982"/>
    </row>
    <row r="113" spans="1:34" ht="23.25" thickBot="1">
      <c r="A113" s="540" t="s">
        <v>272</v>
      </c>
      <c r="B113" s="339"/>
      <c r="C113" s="340">
        <f>'[59]КРМД-20'!$C$174</f>
        <v>0</v>
      </c>
      <c r="D113" s="351" t="e">
        <f t="shared" si="52"/>
        <v>#REF!</v>
      </c>
      <c r="E113" s="342">
        <f t="shared" si="53"/>
        <v>0</v>
      </c>
      <c r="F113" s="321">
        <f>+'КРМД-23'!E$18</f>
        <v>0</v>
      </c>
      <c r="G113" s="339" t="e">
        <f>'КРМД-23'!R$175</f>
        <v>#REF!</v>
      </c>
      <c r="H113" s="890" t="e">
        <f>G113*0.022</f>
        <v>#REF!</v>
      </c>
      <c r="I113" s="340">
        <f>'КРМД-23'!R$176</f>
        <v>0</v>
      </c>
      <c r="J113" s="890"/>
      <c r="K113" s="340">
        <f>'КРМД-23'!R$177</f>
        <v>0</v>
      </c>
      <c r="L113" s="344"/>
      <c r="M113" s="339" t="e">
        <f>'КРМД-23'!R$179</f>
        <v>#REF!</v>
      </c>
      <c r="N113" s="890" t="e">
        <f>M113*0.15</f>
        <v>#REF!</v>
      </c>
      <c r="O113" s="340">
        <f>'КРМД-23'!R$180</f>
        <v>0</v>
      </c>
      <c r="P113" s="342">
        <f t="shared" si="54"/>
        <v>0</v>
      </c>
      <c r="Q113" s="890">
        <f>O113*0.12</f>
        <v>0</v>
      </c>
      <c r="R113" s="340">
        <f>'КРМД-23'!R$181</f>
        <v>0</v>
      </c>
      <c r="S113" s="890">
        <f>+R113*0.09</f>
        <v>0</v>
      </c>
      <c r="T113" s="340">
        <f>'КРМД-23'!R$182</f>
        <v>0</v>
      </c>
      <c r="U113" s="890">
        <f>T113*0.15</f>
        <v>0</v>
      </c>
      <c r="V113" s="340">
        <f>'КРМД-23'!R$183</f>
        <v>0</v>
      </c>
      <c r="W113" s="895">
        <f>V113*0.03</f>
        <v>0</v>
      </c>
      <c r="X113" s="339" t="e">
        <f>'КРМД-23'!R$174</f>
        <v>#REF!</v>
      </c>
      <c r="Y113" s="895" t="e">
        <f>X113*0.13</f>
        <v>#REF!</v>
      </c>
      <c r="Z113" s="342" t="e">
        <f t="shared" si="61"/>
        <v>#REF!</v>
      </c>
      <c r="AA113" s="339" t="e">
        <f t="shared" si="56"/>
        <v>#REF!</v>
      </c>
      <c r="AB113" s="340" t="e">
        <f t="shared" si="60"/>
        <v>#REF!</v>
      </c>
      <c r="AC113" s="901" t="e">
        <f>Y113+N113+Q113+S113+U113+W113-(D113+H113+J113+L113)</f>
        <v>#REF!</v>
      </c>
      <c r="AD113" s="541" t="e">
        <f>'КРМД-23'!R$184</f>
        <v>#REF!</v>
      </c>
      <c r="AE113" s="847"/>
      <c r="AF113" s="851">
        <v>0.125</v>
      </c>
      <c r="AG113" s="852">
        <f t="shared" si="58"/>
        <v>0</v>
      </c>
      <c r="AH113" s="856"/>
    </row>
    <row r="114" spans="1:34" ht="12" thickBot="1">
      <c r="A114" s="542" t="s">
        <v>238</v>
      </c>
      <c r="B114" s="543" t="e">
        <f>SUM(B101:B113)</f>
        <v>#REF!</v>
      </c>
      <c r="C114" s="544">
        <f>SUM(C101:C113)</f>
        <v>0</v>
      </c>
      <c r="D114" s="545" t="e">
        <f>SUM(D101:D113)</f>
        <v>#REF!</v>
      </c>
      <c r="E114" s="546" t="e">
        <f t="shared" ref="E114" si="62">IF(B114=0,0,D114*1000/B114)</f>
        <v>#REF!</v>
      </c>
      <c r="F114" s="547" t="e">
        <f t="shared" ref="F114:O114" si="63">SUM(F101:F113)</f>
        <v>#REF!</v>
      </c>
      <c r="G114" s="543" t="e">
        <f t="shared" si="63"/>
        <v>#REF!</v>
      </c>
      <c r="H114" s="891" t="e">
        <f t="shared" si="63"/>
        <v>#REF!</v>
      </c>
      <c r="I114" s="544">
        <f t="shared" si="63"/>
        <v>0</v>
      </c>
      <c r="J114" s="891">
        <f t="shared" si="63"/>
        <v>0</v>
      </c>
      <c r="K114" s="544">
        <f t="shared" si="63"/>
        <v>0</v>
      </c>
      <c r="L114" s="892">
        <f t="shared" si="63"/>
        <v>0</v>
      </c>
      <c r="M114" s="543" t="e">
        <f t="shared" si="63"/>
        <v>#REF!</v>
      </c>
      <c r="N114" s="891" t="e">
        <f t="shared" si="63"/>
        <v>#REF!</v>
      </c>
      <c r="O114" s="544" t="e">
        <f t="shared" si="63"/>
        <v>#REF!</v>
      </c>
      <c r="P114" s="546" t="e">
        <f>IF(O114=0,0,Q114*1000/O114)</f>
        <v>#REF!</v>
      </c>
      <c r="Q114" s="891" t="e">
        <f t="shared" ref="Q114:W114" si="64">SUM(Q101:Q113)</f>
        <v>#REF!</v>
      </c>
      <c r="R114" s="544">
        <f t="shared" si="64"/>
        <v>0</v>
      </c>
      <c r="S114" s="891">
        <f t="shared" si="64"/>
        <v>0</v>
      </c>
      <c r="T114" s="544">
        <f t="shared" si="64"/>
        <v>0</v>
      </c>
      <c r="U114" s="891">
        <f t="shared" si="64"/>
        <v>0</v>
      </c>
      <c r="V114" s="544">
        <f t="shared" si="64"/>
        <v>0</v>
      </c>
      <c r="W114" s="892">
        <f t="shared" si="64"/>
        <v>0</v>
      </c>
      <c r="X114" s="543" t="e">
        <f>SUM(X101:X113)</f>
        <v>#REF!</v>
      </c>
      <c r="Y114" s="892" t="e">
        <f>SUM(Y101:Y113)</f>
        <v>#REF!</v>
      </c>
      <c r="Z114" s="546" t="e">
        <f t="shared" ref="Z114" si="65">IF(X114=0,0,Y114*1000/X114)</f>
        <v>#REF!</v>
      </c>
      <c r="AA114" s="543" t="e">
        <f>SUM(AA101:AA113)</f>
        <v>#REF!</v>
      </c>
      <c r="AB114" s="544">
        <f>IF(AD115=0,0,AC115/AD115*1000000)</f>
        <v>0</v>
      </c>
      <c r="AC114" s="891" t="e">
        <f>Y114+N114+Q114+S114+U114+W114-(D114+H114+J114+L114)</f>
        <v>#REF!</v>
      </c>
      <c r="AD114" s="548" t="e">
        <f>SUM(AD101:AD113)</f>
        <v>#REF!</v>
      </c>
      <c r="AE114" s="847"/>
      <c r="AG114" s="345" t="e">
        <f>SUM(AG101:AG113)</f>
        <v>#REF!</v>
      </c>
    </row>
    <row r="115" spans="1:34" ht="12" thickTop="1">
      <c r="AD115" s="352"/>
      <c r="AE115" s="850"/>
    </row>
    <row r="116" spans="1:34">
      <c r="I116" s="300"/>
      <c r="L116" s="526" t="s">
        <v>283</v>
      </c>
      <c r="AC116" s="1981"/>
      <c r="AD116" s="1981"/>
      <c r="AE116" s="849"/>
    </row>
    <row r="117" spans="1:34" ht="12" thickBot="1">
      <c r="A117" s="301">
        <f>+A94+1</f>
        <v>2024</v>
      </c>
      <c r="D117" s="305"/>
      <c r="AD117" s="1293" t="s">
        <v>542</v>
      </c>
    </row>
    <row r="118" spans="1:34" ht="12" thickTop="1">
      <c r="A118" s="1985" t="s">
        <v>284</v>
      </c>
      <c r="B118" s="1988" t="s">
        <v>285</v>
      </c>
      <c r="C118" s="1989"/>
      <c r="D118" s="1989"/>
      <c r="E118" s="1990"/>
      <c r="F118" s="1990"/>
      <c r="G118" s="1991" t="s">
        <v>245</v>
      </c>
      <c r="H118" s="1992"/>
      <c r="I118" s="1992"/>
      <c r="J118" s="1992"/>
      <c r="K118" s="1992"/>
      <c r="L118" s="1993"/>
      <c r="M118" s="1991" t="s">
        <v>250</v>
      </c>
      <c r="N118" s="1998"/>
      <c r="O118" s="1998"/>
      <c r="P118" s="1998"/>
      <c r="Q118" s="1998"/>
      <c r="R118" s="1998"/>
      <c r="S118" s="1998"/>
      <c r="T118" s="1998"/>
      <c r="U118" s="1998"/>
      <c r="V118" s="1998"/>
      <c r="W118" s="1999"/>
      <c r="X118" s="1988" t="s">
        <v>286</v>
      </c>
      <c r="Y118" s="1989"/>
      <c r="Z118" s="2000"/>
      <c r="AA118" s="1973" t="s">
        <v>287</v>
      </c>
      <c r="AB118" s="1975" t="s">
        <v>288</v>
      </c>
      <c r="AC118" s="1977" t="s">
        <v>289</v>
      </c>
      <c r="AD118" s="1979" t="s">
        <v>290</v>
      </c>
      <c r="AE118" s="844"/>
      <c r="AF118" s="1983" t="s">
        <v>408</v>
      </c>
      <c r="AG118" s="1984" t="s">
        <v>291</v>
      </c>
    </row>
    <row r="119" spans="1:34">
      <c r="A119" s="1986"/>
      <c r="B119" s="2001" t="s">
        <v>292</v>
      </c>
      <c r="C119" s="2002"/>
      <c r="D119" s="1995" t="s">
        <v>242</v>
      </c>
      <c r="E119" s="1976" t="s">
        <v>293</v>
      </c>
      <c r="F119" s="2005" t="s">
        <v>294</v>
      </c>
      <c r="G119" s="2001" t="s">
        <v>295</v>
      </c>
      <c r="H119" s="2007"/>
      <c r="I119" s="2008" t="s">
        <v>296</v>
      </c>
      <c r="J119" s="2008"/>
      <c r="K119" s="2008" t="s">
        <v>297</v>
      </c>
      <c r="L119" s="2009"/>
      <c r="M119" s="1994" t="s">
        <v>298</v>
      </c>
      <c r="N119" s="2008"/>
      <c r="O119" s="2008" t="s">
        <v>299</v>
      </c>
      <c r="P119" s="2008"/>
      <c r="Q119" s="2008"/>
      <c r="R119" s="2008" t="s">
        <v>300</v>
      </c>
      <c r="S119" s="2008"/>
      <c r="T119" s="2010" t="s">
        <v>301</v>
      </c>
      <c r="U119" s="2010"/>
      <c r="V119" s="2008" t="s">
        <v>302</v>
      </c>
      <c r="W119" s="2009"/>
      <c r="X119" s="1994" t="s">
        <v>292</v>
      </c>
      <c r="Y119" s="1995" t="s">
        <v>242</v>
      </c>
      <c r="Z119" s="1996" t="s">
        <v>293</v>
      </c>
      <c r="AA119" s="1974"/>
      <c r="AB119" s="1976"/>
      <c r="AC119" s="1978"/>
      <c r="AD119" s="1980"/>
      <c r="AE119" s="844"/>
      <c r="AF119" s="1983"/>
      <c r="AG119" s="1984"/>
    </row>
    <row r="120" spans="1:34" ht="45">
      <c r="A120" s="1987"/>
      <c r="B120" s="580" t="s">
        <v>83</v>
      </c>
      <c r="C120" s="581" t="s">
        <v>303</v>
      </c>
      <c r="D120" s="2003"/>
      <c r="E120" s="2004"/>
      <c r="F120" s="2006"/>
      <c r="G120" s="580" t="s">
        <v>292</v>
      </c>
      <c r="H120" s="582" t="s">
        <v>242</v>
      </c>
      <c r="I120" s="579" t="s">
        <v>292</v>
      </c>
      <c r="J120" s="582" t="s">
        <v>242</v>
      </c>
      <c r="K120" s="579" t="s">
        <v>292</v>
      </c>
      <c r="L120" s="308" t="s">
        <v>242</v>
      </c>
      <c r="M120" s="580" t="s">
        <v>292</v>
      </c>
      <c r="N120" s="582" t="s">
        <v>242</v>
      </c>
      <c r="O120" s="579" t="s">
        <v>292</v>
      </c>
      <c r="P120" s="579" t="s">
        <v>304</v>
      </c>
      <c r="Q120" s="582" t="s">
        <v>242</v>
      </c>
      <c r="R120" s="579" t="s">
        <v>292</v>
      </c>
      <c r="S120" s="582" t="s">
        <v>242</v>
      </c>
      <c r="T120" s="579" t="s">
        <v>292</v>
      </c>
      <c r="U120" s="582" t="s">
        <v>242</v>
      </c>
      <c r="V120" s="579" t="s">
        <v>292</v>
      </c>
      <c r="W120" s="308" t="s">
        <v>242</v>
      </c>
      <c r="X120" s="1994"/>
      <c r="Y120" s="1995"/>
      <c r="Z120" s="1997"/>
      <c r="AA120" s="1974"/>
      <c r="AB120" s="1976"/>
      <c r="AC120" s="1978"/>
      <c r="AD120" s="1980"/>
      <c r="AE120" s="844"/>
      <c r="AF120" s="1983"/>
      <c r="AG120" s="1984"/>
    </row>
    <row r="121" spans="1:34" ht="12" thickBot="1">
      <c r="A121" s="527" t="s">
        <v>305</v>
      </c>
      <c r="B121" s="309">
        <v>1</v>
      </c>
      <c r="C121" s="310">
        <v>2</v>
      </c>
      <c r="D121" s="310">
        <v>3</v>
      </c>
      <c r="E121" s="311"/>
      <c r="F121" s="311">
        <v>4</v>
      </c>
      <c r="G121" s="309">
        <v>5</v>
      </c>
      <c r="H121" s="310">
        <v>6</v>
      </c>
      <c r="I121" s="310">
        <v>7</v>
      </c>
      <c r="J121" s="310">
        <v>8</v>
      </c>
      <c r="K121" s="310">
        <v>9</v>
      </c>
      <c r="L121" s="311">
        <v>10</v>
      </c>
      <c r="M121" s="309">
        <v>11</v>
      </c>
      <c r="N121" s="310">
        <v>12</v>
      </c>
      <c r="O121" s="310">
        <v>13</v>
      </c>
      <c r="P121" s="310">
        <v>14</v>
      </c>
      <c r="Q121" s="310">
        <v>15</v>
      </c>
      <c r="R121" s="310">
        <v>16</v>
      </c>
      <c r="S121" s="310">
        <v>17</v>
      </c>
      <c r="T121" s="310">
        <v>18</v>
      </c>
      <c r="U121" s="310">
        <v>19</v>
      </c>
      <c r="V121" s="310">
        <v>20</v>
      </c>
      <c r="W121" s="311">
        <v>21</v>
      </c>
      <c r="X121" s="309">
        <v>22</v>
      </c>
      <c r="Y121" s="310">
        <v>23</v>
      </c>
      <c r="Z121" s="312"/>
      <c r="AA121" s="309">
        <v>24</v>
      </c>
      <c r="AB121" s="310">
        <v>25</v>
      </c>
      <c r="AC121" s="310">
        <v>26</v>
      </c>
      <c r="AD121" s="528">
        <v>27</v>
      </c>
      <c r="AE121" s="845"/>
      <c r="AF121" s="1983"/>
      <c r="AG121" s="1984"/>
    </row>
    <row r="122" spans="1:34" ht="12" thickBot="1">
      <c r="A122" s="529"/>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530"/>
      <c r="AE122" s="845"/>
      <c r="AF122" s="1983"/>
      <c r="AG122" s="1984"/>
    </row>
    <row r="123" spans="1:34" ht="12" thickBot="1">
      <c r="A123" s="531" t="s">
        <v>306</v>
      </c>
      <c r="B123" s="314"/>
      <c r="C123" s="314"/>
      <c r="D123" s="315"/>
      <c r="E123" s="314"/>
      <c r="F123" s="314"/>
      <c r="G123" s="314"/>
      <c r="H123" s="315"/>
      <c r="I123" s="314"/>
      <c r="J123" s="315"/>
      <c r="K123" s="314"/>
      <c r="L123" s="315"/>
      <c r="M123" s="314"/>
      <c r="N123" s="315"/>
      <c r="O123" s="314"/>
      <c r="P123" s="314"/>
      <c r="Q123" s="315"/>
      <c r="R123" s="314"/>
      <c r="S123" s="315"/>
      <c r="T123" s="314"/>
      <c r="U123" s="315"/>
      <c r="V123" s="314"/>
      <c r="W123" s="315"/>
      <c r="X123" s="314"/>
      <c r="Y123" s="315"/>
      <c r="Z123" s="314"/>
      <c r="AA123" s="314"/>
      <c r="AB123" s="314"/>
      <c r="AC123" s="316"/>
      <c r="AD123" s="532"/>
      <c r="AE123" s="846"/>
      <c r="AF123" s="1983"/>
      <c r="AG123" s="1984"/>
      <c r="AH123" s="300" t="e">
        <f>+AG124+AG125</f>
        <v>#REF!</v>
      </c>
    </row>
    <row r="124" spans="1:34">
      <c r="A124" s="533" t="s">
        <v>244</v>
      </c>
      <c r="B124" s="317" t="e">
        <f>+'КРМД-24'!B$7</f>
        <v>#REF!</v>
      </c>
      <c r="C124" s="318">
        <f>'КРМД-24'!$C$7</f>
        <v>0</v>
      </c>
      <c r="D124" s="348" t="e">
        <f t="shared" ref="D124:D136" si="66">Y101</f>
        <v>#REF!</v>
      </c>
      <c r="E124" s="320" t="e">
        <f t="shared" ref="E124:E137" si="67">IF(B124=0,0,D124*1000/B124)</f>
        <v>#REF!</v>
      </c>
      <c r="F124" s="321" t="e">
        <f>+'КРМД-24'!E$7</f>
        <v>#REF!</v>
      </c>
      <c r="G124" s="317">
        <f>'КРМД-24'!R$8</f>
        <v>0</v>
      </c>
      <c r="H124" s="322"/>
      <c r="I124" s="318">
        <f>'КРМД-24'!$R$9</f>
        <v>0</v>
      </c>
      <c r="J124" s="322"/>
      <c r="K124" s="318">
        <f>'КРМД-24'!R$10</f>
        <v>0</v>
      </c>
      <c r="L124" s="323"/>
      <c r="M124" s="317">
        <f>'КРМД-24'!R$12</f>
        <v>0</v>
      </c>
      <c r="N124" s="322"/>
      <c r="O124" s="318"/>
      <c r="P124" s="320">
        <f t="shared" ref="P124:P134" si="68">IF(O124=0,0,Q124*1000/O124)</f>
        <v>0</v>
      </c>
      <c r="Q124" s="322"/>
      <c r="R124" s="318">
        <f>'КРМД-24'!R$14</f>
        <v>0</v>
      </c>
      <c r="S124" s="322"/>
      <c r="T124" s="318">
        <f>'КРМД-24'!R$15</f>
        <v>0</v>
      </c>
      <c r="U124" s="322"/>
      <c r="V124" s="318">
        <f>'КРМД-24'!R$16</f>
        <v>0</v>
      </c>
      <c r="W124" s="323"/>
      <c r="X124" s="324" t="e">
        <f>'КРМД-24'!R$7</f>
        <v>#REF!</v>
      </c>
      <c r="Y124" s="894" t="e">
        <f>X124*0.46</f>
        <v>#REF!</v>
      </c>
      <c r="Z124" s="320" t="e">
        <f t="shared" ref="Z124:Z130" si="69">IF(X124=0,0,Y124*1000/X124)</f>
        <v>#REF!</v>
      </c>
      <c r="AA124" s="317" t="e">
        <f t="shared" ref="AA124:AA136" si="70">AD124/366</f>
        <v>#REF!</v>
      </c>
      <c r="AB124" s="318" t="e">
        <f>IF(AD124=0,0,AC124/AD124*1000000)</f>
        <v>#REF!</v>
      </c>
      <c r="AC124" s="899" t="e">
        <f t="shared" ref="AC124:AC135" si="71">Y124+N124+Q124+S124+U124+W124-(D124+H124+J124+L124)</f>
        <v>#REF!</v>
      </c>
      <c r="AD124" s="534" t="e">
        <f>'КРМД-24'!R$17</f>
        <v>#REF!</v>
      </c>
      <c r="AE124" s="847"/>
      <c r="AF124" s="851">
        <v>0.78</v>
      </c>
      <c r="AG124" s="852" t="e">
        <f>+B124*AF124</f>
        <v>#REF!</v>
      </c>
    </row>
    <row r="125" spans="1:34">
      <c r="A125" s="533" t="s">
        <v>260</v>
      </c>
      <c r="B125" s="317" t="e">
        <f>+'КРМД-24'!B$35</f>
        <v>#REF!</v>
      </c>
      <c r="C125" s="318" t="e">
        <f>'КРМД-24'!$C$35</f>
        <v>#REF!</v>
      </c>
      <c r="D125" s="348" t="e">
        <f t="shared" si="66"/>
        <v>#REF!</v>
      </c>
      <c r="E125" s="320" t="e">
        <f t="shared" si="67"/>
        <v>#REF!</v>
      </c>
      <c r="F125" s="321" t="e">
        <f>+'КРМД-24'!E$35</f>
        <v>#REF!</v>
      </c>
      <c r="G125" s="317" t="e">
        <f>'КРМД-24'!R$36</f>
        <v>#REF!</v>
      </c>
      <c r="H125" s="887" t="e">
        <f>N128</f>
        <v>#REF!</v>
      </c>
      <c r="I125" s="318">
        <f>'КРМД-24'!R$37</f>
        <v>0</v>
      </c>
      <c r="J125" s="322"/>
      <c r="K125" s="318">
        <f>'КРМД-24'!R$38</f>
        <v>0</v>
      </c>
      <c r="L125" s="323"/>
      <c r="M125" s="317">
        <f>'КРМД-24'!R$40</f>
        <v>0</v>
      </c>
      <c r="N125" s="893">
        <f>M125*0.35</f>
        <v>0</v>
      </c>
      <c r="O125" s="318"/>
      <c r="P125" s="904">
        <f t="shared" si="68"/>
        <v>0</v>
      </c>
      <c r="Q125" s="322"/>
      <c r="R125" s="318">
        <f>'КРМД-24'!R$42</f>
        <v>0</v>
      </c>
      <c r="S125" s="322"/>
      <c r="T125" s="318">
        <f>'КРМД-24'!R$43</f>
        <v>0</v>
      </c>
      <c r="U125" s="322"/>
      <c r="V125" s="318">
        <f>'КРМД-24'!R$44</f>
        <v>0</v>
      </c>
      <c r="W125" s="323"/>
      <c r="X125" s="317" t="e">
        <f>'КРМД-24'!R$35</f>
        <v>#REF!</v>
      </c>
      <c r="Y125" s="894" t="e">
        <f>X125*0.35</f>
        <v>#REF!</v>
      </c>
      <c r="Z125" s="320" t="e">
        <f t="shared" si="69"/>
        <v>#REF!</v>
      </c>
      <c r="AA125" s="317" t="e">
        <f t="shared" si="70"/>
        <v>#REF!</v>
      </c>
      <c r="AB125" s="318" t="e">
        <f>IF(AD125=0,0,AC125/AD125*1000000)</f>
        <v>#REF!</v>
      </c>
      <c r="AC125" s="899" t="e">
        <f t="shared" si="71"/>
        <v>#REF!</v>
      </c>
      <c r="AD125" s="535" t="e">
        <f>'КРМД-24'!R$45</f>
        <v>#REF!</v>
      </c>
      <c r="AE125" s="847"/>
      <c r="AF125" s="853">
        <v>1</v>
      </c>
      <c r="AG125" s="852" t="e">
        <f t="shared" ref="AG125:AG136" si="72">+B125*AF125</f>
        <v>#REF!</v>
      </c>
    </row>
    <row r="126" spans="1:34" ht="20.25" customHeight="1">
      <c r="A126" s="533" t="s">
        <v>258</v>
      </c>
      <c r="B126" s="317" t="e">
        <f>+'КРМД-24'!B$21</f>
        <v>#REF!</v>
      </c>
      <c r="C126" s="318">
        <f>'КРМД-24'!$C$21</f>
        <v>0</v>
      </c>
      <c r="D126" s="348" t="e">
        <f t="shared" si="66"/>
        <v>#REF!</v>
      </c>
      <c r="E126" s="320" t="e">
        <f t="shared" si="67"/>
        <v>#REF!</v>
      </c>
      <c r="F126" s="321" t="e">
        <f>+'КРМД-24'!E$21</f>
        <v>#REF!</v>
      </c>
      <c r="G126" s="317">
        <f>'КРМД-24'!$R$22</f>
        <v>0</v>
      </c>
      <c r="H126" s="887">
        <f>N130</f>
        <v>0</v>
      </c>
      <c r="I126" s="318">
        <f>'КРМД-24'!R$23</f>
        <v>0</v>
      </c>
      <c r="J126" s="322"/>
      <c r="K126" s="318">
        <f>'КРМД-24'!R$24</f>
        <v>0</v>
      </c>
      <c r="L126" s="323"/>
      <c r="M126" s="317">
        <f>'КРМД-24'!R$26</f>
        <v>0</v>
      </c>
      <c r="N126" s="887">
        <f>M126*0.64</f>
        <v>0</v>
      </c>
      <c r="O126" s="318"/>
      <c r="P126" s="320">
        <f t="shared" si="68"/>
        <v>0</v>
      </c>
      <c r="Q126" s="322"/>
      <c r="R126" s="318">
        <f>'КРМД-24'!R$28</f>
        <v>0</v>
      </c>
      <c r="S126" s="322"/>
      <c r="T126" s="318">
        <f>'КРМД-24'!R$29</f>
        <v>0</v>
      </c>
      <c r="U126" s="322"/>
      <c r="V126" s="318">
        <f>'КРМД-24'!R$30</f>
        <v>0</v>
      </c>
      <c r="W126" s="323"/>
      <c r="X126" s="317" t="e">
        <f>'КРМД-24'!R$21</f>
        <v>#REF!</v>
      </c>
      <c r="Y126" s="894" t="e">
        <f>X126*0.4</f>
        <v>#REF!</v>
      </c>
      <c r="Z126" s="320" t="e">
        <f t="shared" si="69"/>
        <v>#REF!</v>
      </c>
      <c r="AA126" s="317" t="e">
        <f t="shared" si="70"/>
        <v>#REF!</v>
      </c>
      <c r="AB126" s="318" t="e">
        <f>IF(AD126=0,0,AC126/AD126*1000000)</f>
        <v>#REF!</v>
      </c>
      <c r="AC126" s="899" t="e">
        <f t="shared" si="71"/>
        <v>#REF!</v>
      </c>
      <c r="AD126" s="535" t="e">
        <f>'КРМД-24'!R$31</f>
        <v>#REF!</v>
      </c>
      <c r="AE126" s="847"/>
      <c r="AF126" s="851">
        <v>1</v>
      </c>
      <c r="AG126" s="852" t="e">
        <f t="shared" si="72"/>
        <v>#REF!</v>
      </c>
    </row>
    <row r="127" spans="1:34" ht="12" thickBot="1">
      <c r="A127" s="536" t="s">
        <v>261</v>
      </c>
      <c r="B127" s="328" t="e">
        <f>+'КРМД-24'!B$49</f>
        <v>#REF!</v>
      </c>
      <c r="C127" s="329" t="e">
        <f>'КРМД-24'!$C$49</f>
        <v>#REF!</v>
      </c>
      <c r="D127" s="349" t="e">
        <f t="shared" si="66"/>
        <v>#REF!</v>
      </c>
      <c r="E127" s="331" t="e">
        <f t="shared" si="67"/>
        <v>#REF!</v>
      </c>
      <c r="F127" s="321">
        <f>+'КРМД-23'!E$48</f>
        <v>0</v>
      </c>
      <c r="G127" s="328">
        <f>'КРМД-24'!R$50</f>
        <v>0</v>
      </c>
      <c r="H127" s="888">
        <f>N124+N125+N126</f>
        <v>0</v>
      </c>
      <c r="I127" s="329">
        <f>'КРМД-24'!R$51</f>
        <v>0</v>
      </c>
      <c r="J127" s="332"/>
      <c r="K127" s="329">
        <f>'КРМД-24'!R$52</f>
        <v>0</v>
      </c>
      <c r="L127" s="333"/>
      <c r="M127" s="328">
        <f>'КРМД-24'!R$54</f>
        <v>0</v>
      </c>
      <c r="N127" s="888"/>
      <c r="O127" s="329" t="e">
        <f>'КРМД-24'!R$55</f>
        <v>#REF!</v>
      </c>
      <c r="P127" s="331" t="e">
        <f t="shared" si="68"/>
        <v>#REF!</v>
      </c>
      <c r="Q127" s="888" t="e">
        <f>O127*0.37</f>
        <v>#REF!</v>
      </c>
      <c r="R127" s="329">
        <f>'КРМД-24'!R$56</f>
        <v>0</v>
      </c>
      <c r="S127" s="332"/>
      <c r="T127" s="329">
        <f>'КРМД-24'!R$57</f>
        <v>0</v>
      </c>
      <c r="U127" s="332"/>
      <c r="V127" s="329">
        <f>'КРМД-24'!R$58</f>
        <v>0</v>
      </c>
      <c r="W127" s="333"/>
      <c r="X127" s="328" t="e">
        <f>'КРМД-24'!R$49</f>
        <v>#REF!</v>
      </c>
      <c r="Y127" s="897" t="e">
        <f>X127*0.45</f>
        <v>#REF!</v>
      </c>
      <c r="Z127" s="331" t="e">
        <f t="shared" si="69"/>
        <v>#REF!</v>
      </c>
      <c r="AA127" s="328" t="e">
        <f t="shared" si="70"/>
        <v>#REF!</v>
      </c>
      <c r="AB127" s="329" t="e">
        <f>IF(AD127=0,0,AC127/AD127*1000000)</f>
        <v>#REF!</v>
      </c>
      <c r="AC127" s="900" t="e">
        <f t="shared" si="71"/>
        <v>#REF!</v>
      </c>
      <c r="AD127" s="537" t="e">
        <f>'КРМД-24'!R$59</f>
        <v>#REF!</v>
      </c>
      <c r="AE127" s="847"/>
      <c r="AF127" s="851">
        <v>0.5</v>
      </c>
      <c r="AG127" s="852" t="e">
        <f t="shared" si="72"/>
        <v>#REF!</v>
      </c>
      <c r="AH127" s="856" t="e">
        <f>SUM(AG127:AG136)</f>
        <v>#REF!</v>
      </c>
    </row>
    <row r="128" spans="1:34">
      <c r="A128" s="538" t="s">
        <v>263</v>
      </c>
      <c r="B128" s="324" t="e">
        <f>+'КРМД-24'!B$63</f>
        <v>#REF!</v>
      </c>
      <c r="C128" s="326" t="e">
        <f>'КРМД-24'!$C$63</f>
        <v>#REF!</v>
      </c>
      <c r="D128" s="350" t="e">
        <f t="shared" si="66"/>
        <v>#REF!</v>
      </c>
      <c r="E128" s="325" t="e">
        <f t="shared" si="67"/>
        <v>#REF!</v>
      </c>
      <c r="F128" s="321" t="e">
        <f>+'КРМД-24'!E$63</f>
        <v>#REF!</v>
      </c>
      <c r="G128" s="324" t="e">
        <f>'КРМД-24'!R$64</f>
        <v>#REF!</v>
      </c>
      <c r="H128" s="889" t="e">
        <f>N129</f>
        <v>#REF!</v>
      </c>
      <c r="I128" s="326">
        <f>'КРМД-24'!R$65</f>
        <v>0</v>
      </c>
      <c r="J128" s="335"/>
      <c r="K128" s="326">
        <f>'КРМД-24'!R$66</f>
        <v>0</v>
      </c>
      <c r="L128" s="336"/>
      <c r="M128" s="324" t="e">
        <f>'КРМД-24'!R$68</f>
        <v>#REF!</v>
      </c>
      <c r="N128" s="889" t="e">
        <f>M128*0.35</f>
        <v>#REF!</v>
      </c>
      <c r="O128" s="326">
        <f>'КРМД-24'!R$69</f>
        <v>0</v>
      </c>
      <c r="P128" s="325">
        <f t="shared" si="68"/>
        <v>0</v>
      </c>
      <c r="Q128" s="889">
        <f>O128*0.35</f>
        <v>0</v>
      </c>
      <c r="R128" s="326">
        <f>'КРМД-24'!R$70</f>
        <v>0</v>
      </c>
      <c r="S128" s="337"/>
      <c r="T128" s="326">
        <f>'КРМД-24'!R$71</f>
        <v>0</v>
      </c>
      <c r="U128" s="337"/>
      <c r="V128" s="326">
        <f>'КРМД-24'!R$72</f>
        <v>0</v>
      </c>
      <c r="W128" s="338"/>
      <c r="X128" s="324" t="e">
        <f>'КРМД-24'!R$63</f>
        <v>#REF!</v>
      </c>
      <c r="Y128" s="896" t="e">
        <f>X128*0.35</f>
        <v>#REF!</v>
      </c>
      <c r="Z128" s="325" t="e">
        <f t="shared" si="69"/>
        <v>#REF!</v>
      </c>
      <c r="AA128" s="324" t="e">
        <f t="shared" si="70"/>
        <v>#REF!</v>
      </c>
      <c r="AB128" s="326" t="e">
        <f>IF(AD128=0,0,AC128/AD128*1000000)</f>
        <v>#REF!</v>
      </c>
      <c r="AC128" s="898" t="e">
        <f t="shared" si="71"/>
        <v>#REF!</v>
      </c>
      <c r="AD128" s="534" t="e">
        <f>'КРМД-24'!R$73</f>
        <v>#REF!</v>
      </c>
      <c r="AE128" s="847"/>
      <c r="AF128" s="851">
        <v>0.61</v>
      </c>
      <c r="AG128" s="852" t="e">
        <f t="shared" si="72"/>
        <v>#REF!</v>
      </c>
    </row>
    <row r="129" spans="1:39">
      <c r="A129" s="533" t="s">
        <v>264</v>
      </c>
      <c r="B129" s="317" t="e">
        <f>+'КРМД-24'!B$77</f>
        <v>#REF!</v>
      </c>
      <c r="C129" s="318" t="e">
        <f>'КРМД-24'!$C$77</f>
        <v>#REF!</v>
      </c>
      <c r="D129" s="348" t="e">
        <f t="shared" si="66"/>
        <v>#REF!</v>
      </c>
      <c r="E129" s="320" t="e">
        <f t="shared" si="67"/>
        <v>#REF!</v>
      </c>
      <c r="F129" s="321" t="e">
        <f>+'КРМД-24'!E$77</f>
        <v>#REF!</v>
      </c>
      <c r="G129" s="317" t="e">
        <f>'КРМД-24'!R$78</f>
        <v>#REF!</v>
      </c>
      <c r="H129" s="887" t="e">
        <f t="shared" ref="H129:H134" si="73">N131</f>
        <v>#REF!</v>
      </c>
      <c r="I129" s="318">
        <f>'КРМД-24'!R$79</f>
        <v>0</v>
      </c>
      <c r="J129" s="322"/>
      <c r="K129" s="318">
        <f>'КРМД-24'!R$80</f>
        <v>0</v>
      </c>
      <c r="L129" s="323"/>
      <c r="M129" s="317" t="e">
        <f>'КРМД-24'!R$82</f>
        <v>#REF!</v>
      </c>
      <c r="N129" s="887" t="e">
        <f>M129*0.298</f>
        <v>#REF!</v>
      </c>
      <c r="O129" s="318">
        <f>'КРМД-24'!R$83</f>
        <v>0</v>
      </c>
      <c r="P129" s="320">
        <f t="shared" si="68"/>
        <v>0</v>
      </c>
      <c r="Q129" s="887"/>
      <c r="R129" s="318">
        <f>'КРМД-24'!R$84</f>
        <v>0</v>
      </c>
      <c r="S129" s="322"/>
      <c r="T129" s="318">
        <f>'КРМД-24'!R$85</f>
        <v>0</v>
      </c>
      <c r="U129" s="322"/>
      <c r="V129" s="318">
        <f>'КРМД-24'!R$86</f>
        <v>0</v>
      </c>
      <c r="W129" s="323"/>
      <c r="X129" s="317" t="e">
        <f>'КРМД-24'!R$77</f>
        <v>#REF!</v>
      </c>
      <c r="Y129" s="894" t="e">
        <f>X129*0.28</f>
        <v>#REF!</v>
      </c>
      <c r="Z129" s="320" t="e">
        <f t="shared" si="69"/>
        <v>#REF!</v>
      </c>
      <c r="AA129" s="317" t="e">
        <f t="shared" si="70"/>
        <v>#REF!</v>
      </c>
      <c r="AB129" s="318" t="e">
        <f>IF(AD129=0,0,AC129/AD129*100000)</f>
        <v>#REF!</v>
      </c>
      <c r="AC129" s="899" t="e">
        <f t="shared" si="71"/>
        <v>#REF!</v>
      </c>
      <c r="AD129" s="535" t="e">
        <f>'КРМД-24'!R$87</f>
        <v>#REF!</v>
      </c>
      <c r="AE129" s="847"/>
      <c r="AF129" s="851">
        <v>0.57999999999999996</v>
      </c>
      <c r="AG129" s="852" t="e">
        <f t="shared" si="72"/>
        <v>#REF!</v>
      </c>
    </row>
    <row r="130" spans="1:39">
      <c r="A130" s="533" t="s">
        <v>267</v>
      </c>
      <c r="B130" s="317" t="e">
        <f>+'КРМД-24'!B$119</f>
        <v>#REF!</v>
      </c>
      <c r="C130" s="318" t="e">
        <f>'КРМД-24'!$C$119</f>
        <v>#REF!</v>
      </c>
      <c r="D130" s="348" t="e">
        <f t="shared" si="66"/>
        <v>#REF!</v>
      </c>
      <c r="E130" s="320" t="e">
        <f t="shared" si="67"/>
        <v>#REF!</v>
      </c>
      <c r="F130" s="321">
        <f>+'КРМД-24'!E$119</f>
        <v>0</v>
      </c>
      <c r="G130" s="317">
        <f>'КРМД-24'!R$120</f>
        <v>0</v>
      </c>
      <c r="H130" s="887">
        <f t="shared" si="73"/>
        <v>0</v>
      </c>
      <c r="I130" s="318">
        <f>'КРМД-24'!R$121</f>
        <v>0</v>
      </c>
      <c r="J130" s="322"/>
      <c r="K130" s="318">
        <f>'КРМД-24'!R$122</f>
        <v>0</v>
      </c>
      <c r="L130" s="323"/>
      <c r="M130" s="317">
        <f>'КРМД-24'!R$124</f>
        <v>0</v>
      </c>
      <c r="N130" s="887"/>
      <c r="O130" s="318" t="e">
        <f>'КРМД-24'!R$125</f>
        <v>#REF!</v>
      </c>
      <c r="P130" s="320" t="e">
        <f t="shared" si="68"/>
        <v>#REF!</v>
      </c>
      <c r="Q130" s="887"/>
      <c r="R130" s="318">
        <f>'КРМД-24'!R$126</f>
        <v>0</v>
      </c>
      <c r="S130" s="322"/>
      <c r="T130" s="318">
        <f>'КРМД-24'!R$127</f>
        <v>0</v>
      </c>
      <c r="U130" s="322"/>
      <c r="V130" s="318">
        <f>'КРМД-24'!R$128</f>
        <v>0</v>
      </c>
      <c r="W130" s="323"/>
      <c r="X130" s="317" t="e">
        <f>'КРМД-24'!R$119</f>
        <v>#REF!</v>
      </c>
      <c r="Y130" s="894" t="e">
        <f>X130*0.3</f>
        <v>#REF!</v>
      </c>
      <c r="Z130" s="320" t="e">
        <f t="shared" si="69"/>
        <v>#REF!</v>
      </c>
      <c r="AA130" s="317" t="e">
        <f t="shared" si="70"/>
        <v>#REF!</v>
      </c>
      <c r="AB130" s="318" t="e">
        <f t="shared" ref="AB130:AB136" si="74">IF(AD130=0,0,AC130/AD130*1000000)</f>
        <v>#REF!</v>
      </c>
      <c r="AC130" s="899" t="e">
        <f t="shared" si="71"/>
        <v>#REF!</v>
      </c>
      <c r="AD130" s="535" t="e">
        <f>'КРМД-24'!R$129</f>
        <v>#REF!</v>
      </c>
      <c r="AE130" s="847"/>
      <c r="AF130" s="851">
        <v>0.57999999999999996</v>
      </c>
      <c r="AG130" s="852" t="e">
        <f t="shared" si="72"/>
        <v>#REF!</v>
      </c>
    </row>
    <row r="131" spans="1:39">
      <c r="A131" s="533" t="s">
        <v>265</v>
      </c>
      <c r="B131" s="317" t="e">
        <f>+'КРМД-24'!B$91</f>
        <v>#REF!</v>
      </c>
      <c r="C131" s="318" t="e">
        <f>'КРМД-24'!$C$91</f>
        <v>#REF!</v>
      </c>
      <c r="D131" s="348" t="e">
        <f t="shared" si="66"/>
        <v>#REF!</v>
      </c>
      <c r="E131" s="320" t="e">
        <f t="shared" si="67"/>
        <v>#REF!</v>
      </c>
      <c r="F131" s="321" t="e">
        <f>+'КРМД-24'!E$91</f>
        <v>#REF!</v>
      </c>
      <c r="G131" s="317" t="e">
        <f>'КРМД-24'!R$92</f>
        <v>#REF!</v>
      </c>
      <c r="H131" s="887">
        <f t="shared" si="73"/>
        <v>0</v>
      </c>
      <c r="I131" s="318">
        <f>'КРМД-24'!R$93</f>
        <v>0</v>
      </c>
      <c r="J131" s="322"/>
      <c r="K131" s="318">
        <f>'КРМД-24'!R$94</f>
        <v>0</v>
      </c>
      <c r="L131" s="323"/>
      <c r="M131" s="317" t="e">
        <f>'КРМД-24'!R$96</f>
        <v>#REF!</v>
      </c>
      <c r="N131" s="887" t="e">
        <f>M131*0.28</f>
        <v>#REF!</v>
      </c>
      <c r="O131" s="318">
        <f>'КРМД-24'!R$97</f>
        <v>0</v>
      </c>
      <c r="P131" s="320">
        <f t="shared" si="68"/>
        <v>0</v>
      </c>
      <c r="Q131" s="887">
        <f>O131*0.298</f>
        <v>0</v>
      </c>
      <c r="R131" s="318">
        <f>'КРМД-24'!R$98</f>
        <v>0</v>
      </c>
      <c r="S131" s="887">
        <f>+R131*0.3</f>
        <v>0</v>
      </c>
      <c r="T131" s="318">
        <f>'КРМД-24'!R$99</f>
        <v>0</v>
      </c>
      <c r="U131" s="322"/>
      <c r="V131" s="318">
        <f>'КРМД-24'!R$100</f>
        <v>0</v>
      </c>
      <c r="W131" s="323"/>
      <c r="X131" s="317" t="e">
        <f>'КРМД-24'!R$91</f>
        <v>#REF!</v>
      </c>
      <c r="Y131" s="894" t="e">
        <f>X131*0.265</f>
        <v>#REF!</v>
      </c>
      <c r="Z131" s="320" t="e">
        <f>IF(X131=0,0,Y131*1000/X131)</f>
        <v>#REF!</v>
      </c>
      <c r="AA131" s="317" t="e">
        <f t="shared" si="70"/>
        <v>#REF!</v>
      </c>
      <c r="AB131" s="318" t="e">
        <f t="shared" si="74"/>
        <v>#REF!</v>
      </c>
      <c r="AC131" s="899" t="e">
        <f t="shared" si="71"/>
        <v>#REF!</v>
      </c>
      <c r="AD131" s="535" t="e">
        <f>'КРМД-24'!R$101</f>
        <v>#REF!</v>
      </c>
      <c r="AE131" s="847"/>
      <c r="AF131" s="851">
        <v>0.54</v>
      </c>
      <c r="AG131" s="852" t="e">
        <f t="shared" si="72"/>
        <v>#REF!</v>
      </c>
    </row>
    <row r="132" spans="1:39">
      <c r="A132" s="533" t="s">
        <v>268</v>
      </c>
      <c r="B132" s="317" t="e">
        <f>+'КРМД-24'!B$133</f>
        <v>#REF!</v>
      </c>
      <c r="C132" s="318" t="e">
        <f>'КРМД-24'!$C$133</f>
        <v>#REF!</v>
      </c>
      <c r="D132" s="348" t="e">
        <f t="shared" si="66"/>
        <v>#REF!</v>
      </c>
      <c r="E132" s="320" t="e">
        <f t="shared" si="67"/>
        <v>#REF!</v>
      </c>
      <c r="F132" s="321" t="e">
        <f>+'КРМД-24'!E$133</f>
        <v>#REF!</v>
      </c>
      <c r="G132" s="317" t="e">
        <f>'КРМД-24'!R$134</f>
        <v>#REF!</v>
      </c>
      <c r="H132" s="887" t="e">
        <f t="shared" si="73"/>
        <v>#REF!</v>
      </c>
      <c r="I132" s="318">
        <f>'КРМД-24'!R$135</f>
        <v>0</v>
      </c>
      <c r="J132" s="322"/>
      <c r="K132" s="318">
        <f>'КРМД-24'!R$136</f>
        <v>0</v>
      </c>
      <c r="L132" s="323"/>
      <c r="M132" s="317">
        <f>'КРМД-24'!R$138</f>
        <v>0</v>
      </c>
      <c r="N132" s="887">
        <f>M132*0.25</f>
        <v>0</v>
      </c>
      <c r="O132" s="318" t="e">
        <f>'КРМД-24'!R$139</f>
        <v>#REF!</v>
      </c>
      <c r="P132" s="320" t="e">
        <f t="shared" si="68"/>
        <v>#REF!</v>
      </c>
      <c r="Q132" s="887" t="e">
        <f>O132*0.257</f>
        <v>#REF!</v>
      </c>
      <c r="R132" s="318">
        <f>'КРМД-24'!R$140</f>
        <v>0</v>
      </c>
      <c r="S132" s="887"/>
      <c r="T132" s="318">
        <f>'КРМД-24'!R$141</f>
        <v>0</v>
      </c>
      <c r="U132" s="322"/>
      <c r="V132" s="318">
        <f>'КРМД-24'!R$142</f>
        <v>0</v>
      </c>
      <c r="W132" s="323"/>
      <c r="X132" s="317" t="e">
        <f>'КРМД-24'!R$133</f>
        <v>#REF!</v>
      </c>
      <c r="Y132" s="894" t="e">
        <f>X132*0.257</f>
        <v>#REF!</v>
      </c>
      <c r="Z132" s="320" t="e">
        <f t="shared" ref="Z132:Z137" si="75">IF(X132=0,0,Y132*1000/X132)</f>
        <v>#REF!</v>
      </c>
      <c r="AA132" s="317" t="e">
        <f t="shared" si="70"/>
        <v>#REF!</v>
      </c>
      <c r="AB132" s="318" t="e">
        <f t="shared" si="74"/>
        <v>#REF!</v>
      </c>
      <c r="AC132" s="899" t="e">
        <f t="shared" si="71"/>
        <v>#REF!</v>
      </c>
      <c r="AD132" s="535" t="e">
        <f>'КРМД-24'!R$143</f>
        <v>#REF!</v>
      </c>
      <c r="AE132" s="847"/>
      <c r="AF132" s="851">
        <v>0.54</v>
      </c>
      <c r="AG132" s="852" t="e">
        <f t="shared" si="72"/>
        <v>#REF!</v>
      </c>
    </row>
    <row r="133" spans="1:39">
      <c r="A133" s="533" t="s">
        <v>266</v>
      </c>
      <c r="B133" s="317" t="e">
        <f>+'КРМД-24'!B$105</f>
        <v>#REF!</v>
      </c>
      <c r="C133" s="318" t="e">
        <f>'КРМД-24'!$C$105</f>
        <v>#REF!</v>
      </c>
      <c r="D133" s="348" t="e">
        <f t="shared" si="66"/>
        <v>#REF!</v>
      </c>
      <c r="E133" s="320" t="e">
        <f t="shared" si="67"/>
        <v>#REF!</v>
      </c>
      <c r="F133" s="321" t="e">
        <f>+'КРМД-24'!E$105</f>
        <v>#REF!</v>
      </c>
      <c r="G133" s="317" t="e">
        <f>'КРМД-24'!R$106</f>
        <v>#REF!</v>
      </c>
      <c r="H133" s="887" t="e">
        <f t="shared" si="73"/>
        <v>#REF!</v>
      </c>
      <c r="I133" s="318">
        <f>'КРМД-24'!R$107</f>
        <v>0</v>
      </c>
      <c r="J133" s="322"/>
      <c r="K133" s="318">
        <f>'КРМД-24'!R$108</f>
        <v>0</v>
      </c>
      <c r="L133" s="323"/>
      <c r="M133" s="317">
        <f>'КРМД-24'!R$108</f>
        <v>0</v>
      </c>
      <c r="N133" s="887">
        <f>M133*0.22</f>
        <v>0</v>
      </c>
      <c r="O133" s="318">
        <f>'КРМД-24'!R$111</f>
        <v>0</v>
      </c>
      <c r="P133" s="320">
        <f t="shared" si="68"/>
        <v>0</v>
      </c>
      <c r="Q133" s="887">
        <f>O133*0.23</f>
        <v>0</v>
      </c>
      <c r="R133" s="318">
        <f>'КРМД-24'!R$112</f>
        <v>0</v>
      </c>
      <c r="S133" s="887">
        <f>R133*0.265</f>
        <v>0</v>
      </c>
      <c r="T133" s="318">
        <f>'КРМД-24'!R$113</f>
        <v>0</v>
      </c>
      <c r="U133" s="887">
        <f>T133*0.155</f>
        <v>0</v>
      </c>
      <c r="V133" s="318">
        <f>'КРМД-24'!R$114</f>
        <v>0</v>
      </c>
      <c r="W133" s="323"/>
      <c r="X133" s="317" t="e">
        <f>'КРМД-24'!R$105</f>
        <v>#REF!</v>
      </c>
      <c r="Y133" s="894" t="e">
        <f>X133*0.13</f>
        <v>#REF!</v>
      </c>
      <c r="Z133" s="320" t="e">
        <f t="shared" si="75"/>
        <v>#REF!</v>
      </c>
      <c r="AA133" s="317" t="e">
        <f t="shared" si="70"/>
        <v>#REF!</v>
      </c>
      <c r="AB133" s="318" t="e">
        <f t="shared" si="74"/>
        <v>#REF!</v>
      </c>
      <c r="AC133" s="899" t="e">
        <f t="shared" si="71"/>
        <v>#REF!</v>
      </c>
      <c r="AD133" s="535" t="e">
        <f>'КРМД-24'!R$115</f>
        <v>#REF!</v>
      </c>
      <c r="AE133" s="847"/>
      <c r="AF133" s="851">
        <v>0.35</v>
      </c>
      <c r="AG133" s="852" t="e">
        <f t="shared" si="72"/>
        <v>#REF!</v>
      </c>
    </row>
    <row r="134" spans="1:39">
      <c r="A134" s="533" t="s">
        <v>269</v>
      </c>
      <c r="B134" s="317" t="e">
        <f>+'КРМД-24'!B$147</f>
        <v>#REF!</v>
      </c>
      <c r="C134" s="318" t="e">
        <f>'КРМД-24'!$C$147</f>
        <v>#REF!</v>
      </c>
      <c r="D134" s="348" t="e">
        <f t="shared" si="66"/>
        <v>#REF!</v>
      </c>
      <c r="E134" s="320" t="e">
        <f t="shared" si="67"/>
        <v>#REF!</v>
      </c>
      <c r="F134" s="321" t="e">
        <f>+'КРМД-24'!E$147</f>
        <v>#REF!</v>
      </c>
      <c r="G134" s="317" t="e">
        <f>'КРМД-24'!R$148</f>
        <v>#REF!</v>
      </c>
      <c r="H134" s="887" t="e">
        <f t="shared" si="73"/>
        <v>#REF!</v>
      </c>
      <c r="I134" s="318">
        <f>'КРМД-24'!R$149</f>
        <v>0</v>
      </c>
      <c r="J134" s="322"/>
      <c r="K134" s="318">
        <f>'КРМД-24'!R$150</f>
        <v>0</v>
      </c>
      <c r="L134" s="323"/>
      <c r="M134" s="317" t="e">
        <f>'КРМД-24'!R$152</f>
        <v>#REF!</v>
      </c>
      <c r="N134" s="887" t="e">
        <f>M134*0.24</f>
        <v>#REF!</v>
      </c>
      <c r="O134" s="318">
        <f>'КРМД-24'!R$153</f>
        <v>0</v>
      </c>
      <c r="P134" s="320">
        <f t="shared" si="68"/>
        <v>0</v>
      </c>
      <c r="Q134" s="887">
        <f>O134*0.25</f>
        <v>0</v>
      </c>
      <c r="R134" s="318">
        <f>'КРМД-24'!R$154</f>
        <v>0</v>
      </c>
      <c r="S134" s="887"/>
      <c r="T134" s="318">
        <f>'КРМД-24'!R$155</f>
        <v>0</v>
      </c>
      <c r="U134" s="887"/>
      <c r="V134" s="318">
        <f>'КРМД-24'!R$156</f>
        <v>0</v>
      </c>
      <c r="W134" s="323"/>
      <c r="X134" s="317" t="e">
        <f>'КРМД-24'!R$147</f>
        <v>#REF!</v>
      </c>
      <c r="Y134" s="894" t="e">
        <f>X134*0.15</f>
        <v>#REF!</v>
      </c>
      <c r="Z134" s="320" t="e">
        <f t="shared" si="75"/>
        <v>#REF!</v>
      </c>
      <c r="AA134" s="317" t="e">
        <f t="shared" si="70"/>
        <v>#REF!</v>
      </c>
      <c r="AB134" s="318" t="e">
        <f t="shared" si="74"/>
        <v>#REF!</v>
      </c>
      <c r="AC134" s="899" t="e">
        <f t="shared" si="71"/>
        <v>#REF!</v>
      </c>
      <c r="AD134" s="535" t="e">
        <f>'КРМД-24'!R$157</f>
        <v>#REF!</v>
      </c>
      <c r="AE134" s="847"/>
      <c r="AF134" s="851">
        <v>0.35</v>
      </c>
      <c r="AG134" s="852" t="e">
        <f t="shared" si="72"/>
        <v>#REF!</v>
      </c>
    </row>
    <row r="135" spans="1:39" ht="22.5">
      <c r="A135" s="539" t="s">
        <v>270</v>
      </c>
      <c r="B135" s="317"/>
      <c r="C135" s="318">
        <f>'[59]КРМД-20'!$C$160</f>
        <v>0</v>
      </c>
      <c r="D135" s="348" t="e">
        <f t="shared" si="66"/>
        <v>#REF!</v>
      </c>
      <c r="E135" s="320">
        <f t="shared" si="67"/>
        <v>0</v>
      </c>
      <c r="F135" s="321">
        <f>+'КРМД-23'!E$17</f>
        <v>0</v>
      </c>
      <c r="G135" s="317" t="e">
        <f>'КРМД-24'!R$162</f>
        <v>#REF!</v>
      </c>
      <c r="H135" s="887" t="e">
        <f>G135*0.022</f>
        <v>#REF!</v>
      </c>
      <c r="I135" s="318">
        <f>'КРМД-24'!R$163</f>
        <v>0</v>
      </c>
      <c r="J135" s="322"/>
      <c r="K135" s="318">
        <f>'КРМД-24'!R$164</f>
        <v>0</v>
      </c>
      <c r="L135" s="323"/>
      <c r="M135" s="317" t="e">
        <f>'КРМД-24'!R$166</f>
        <v>#REF!</v>
      </c>
      <c r="N135" s="887" t="e">
        <f>M135*0.13</f>
        <v>#REF!</v>
      </c>
      <c r="O135" s="318"/>
      <c r="P135" s="320"/>
      <c r="Q135" s="887"/>
      <c r="R135" s="318">
        <f>'КРМД-24'!R$168</f>
        <v>0</v>
      </c>
      <c r="S135" s="887">
        <f>R135*0.08</f>
        <v>0</v>
      </c>
      <c r="T135" s="318">
        <f>'КРМД-24'!R$169</f>
        <v>0</v>
      </c>
      <c r="U135" s="887">
        <f>T135*0.15</f>
        <v>0</v>
      </c>
      <c r="V135" s="318">
        <f>'КРМД-24'!R$170</f>
        <v>0</v>
      </c>
      <c r="W135" s="894">
        <f>V135*0.03</f>
        <v>0</v>
      </c>
      <c r="X135" s="317" t="e">
        <f>'КРМД-24'!R$161</f>
        <v>#REF!</v>
      </c>
      <c r="Y135" s="894" t="e">
        <f>X135*0.1</f>
        <v>#REF!</v>
      </c>
      <c r="Z135" s="320" t="e">
        <f t="shared" si="75"/>
        <v>#REF!</v>
      </c>
      <c r="AA135" s="317" t="e">
        <f t="shared" si="70"/>
        <v>#REF!</v>
      </c>
      <c r="AB135" s="318" t="e">
        <f t="shared" si="74"/>
        <v>#REF!</v>
      </c>
      <c r="AC135" s="899" t="e">
        <f t="shared" si="71"/>
        <v>#REF!</v>
      </c>
      <c r="AD135" s="535" t="e">
        <f>'КРМД-24'!R$171</f>
        <v>#REF!</v>
      </c>
      <c r="AE135" s="847"/>
      <c r="AF135" s="851">
        <v>0.125</v>
      </c>
      <c r="AG135" s="852">
        <f t="shared" si="72"/>
        <v>0</v>
      </c>
      <c r="AI135" s="1982" t="s">
        <v>77</v>
      </c>
      <c r="AJ135" s="1982"/>
      <c r="AK135" s="1982"/>
      <c r="AL135" s="1982"/>
      <c r="AM135" s="1982"/>
    </row>
    <row r="136" spans="1:39" ht="23.25" thickBot="1">
      <c r="A136" s="540" t="s">
        <v>272</v>
      </c>
      <c r="B136" s="339"/>
      <c r="C136" s="340">
        <f>'[59]КРМД-20'!$C$174</f>
        <v>0</v>
      </c>
      <c r="D136" s="351" t="e">
        <f t="shared" si="66"/>
        <v>#REF!</v>
      </c>
      <c r="E136" s="342">
        <f t="shared" si="67"/>
        <v>0</v>
      </c>
      <c r="F136" s="321">
        <f>+'КРМД-23'!E$18</f>
        <v>0</v>
      </c>
      <c r="G136" s="339" t="e">
        <f>'КРМД-24'!R$176</f>
        <v>#REF!</v>
      </c>
      <c r="H136" s="890" t="e">
        <f>G136*0.022</f>
        <v>#REF!</v>
      </c>
      <c r="I136" s="340">
        <f>'КРМД-24'!R$177</f>
        <v>0</v>
      </c>
      <c r="J136" s="343"/>
      <c r="K136" s="340">
        <f>'КРМД-24'!R$178</f>
        <v>0</v>
      </c>
      <c r="L136" s="344"/>
      <c r="M136" s="339" t="e">
        <f>'КРМД-24'!R$180</f>
        <v>#REF!</v>
      </c>
      <c r="N136" s="890" t="e">
        <f>M136*0.15</f>
        <v>#REF!</v>
      </c>
      <c r="O136" s="340"/>
      <c r="P136" s="342"/>
      <c r="Q136" s="890"/>
      <c r="R136" s="340">
        <f>'КРМД-24'!R$182</f>
        <v>0</v>
      </c>
      <c r="S136" s="890">
        <f>+R136*0.09</f>
        <v>0</v>
      </c>
      <c r="T136" s="340">
        <f>'КРМД-24'!R$183</f>
        <v>0</v>
      </c>
      <c r="U136" s="890">
        <f>T136*0.15</f>
        <v>0</v>
      </c>
      <c r="V136" s="340">
        <f>'КРМД-24'!R$184</f>
        <v>0</v>
      </c>
      <c r="W136" s="895">
        <f>V136*0.03</f>
        <v>0</v>
      </c>
      <c r="X136" s="339" t="e">
        <f>'КРМД-24'!R$175</f>
        <v>#REF!</v>
      </c>
      <c r="Y136" s="895" t="e">
        <f>X136*0.13</f>
        <v>#REF!</v>
      </c>
      <c r="Z136" s="342" t="e">
        <f t="shared" si="75"/>
        <v>#REF!</v>
      </c>
      <c r="AA136" s="339" t="e">
        <f t="shared" si="70"/>
        <v>#REF!</v>
      </c>
      <c r="AB136" s="340" t="e">
        <f t="shared" si="74"/>
        <v>#REF!</v>
      </c>
      <c r="AC136" s="901" t="e">
        <f>Y136+N136+Q136+S136+U136+W136-(D136+H136+J136+L136)</f>
        <v>#REF!</v>
      </c>
      <c r="AD136" s="541" t="e">
        <f>'КРМД-24'!R$185</f>
        <v>#REF!</v>
      </c>
      <c r="AE136" s="847"/>
      <c r="AF136" s="851">
        <v>0.125</v>
      </c>
      <c r="AG136" s="852">
        <f t="shared" si="72"/>
        <v>0</v>
      </c>
    </row>
    <row r="137" spans="1:39" ht="12" thickBot="1">
      <c r="A137" s="542" t="s">
        <v>238</v>
      </c>
      <c r="B137" s="543" t="e">
        <f>SUM(B124:B136)</f>
        <v>#REF!</v>
      </c>
      <c r="C137" s="544" t="e">
        <f>SUM(C124:C136)</f>
        <v>#REF!</v>
      </c>
      <c r="D137" s="545" t="e">
        <f>SUM(D124:D136)</f>
        <v>#REF!</v>
      </c>
      <c r="E137" s="546" t="e">
        <f t="shared" si="67"/>
        <v>#REF!</v>
      </c>
      <c r="F137" s="547" t="e">
        <f t="shared" ref="F137:O137" si="76">SUM(F124:F136)</f>
        <v>#REF!</v>
      </c>
      <c r="G137" s="543" t="e">
        <f t="shared" si="76"/>
        <v>#REF!</v>
      </c>
      <c r="H137" s="891" t="e">
        <f t="shared" si="76"/>
        <v>#REF!</v>
      </c>
      <c r="I137" s="544">
        <f t="shared" si="76"/>
        <v>0</v>
      </c>
      <c r="J137" s="891">
        <f t="shared" si="76"/>
        <v>0</v>
      </c>
      <c r="K137" s="544">
        <f t="shared" si="76"/>
        <v>0</v>
      </c>
      <c r="L137" s="892">
        <f t="shared" si="76"/>
        <v>0</v>
      </c>
      <c r="M137" s="543" t="e">
        <f t="shared" si="76"/>
        <v>#REF!</v>
      </c>
      <c r="N137" s="891" t="e">
        <f t="shared" si="76"/>
        <v>#REF!</v>
      </c>
      <c r="O137" s="544" t="e">
        <f t="shared" si="76"/>
        <v>#REF!</v>
      </c>
      <c r="P137" s="546" t="e">
        <f>IF(O137=0,0,Q137*1000/O137)</f>
        <v>#REF!</v>
      </c>
      <c r="Q137" s="891" t="e">
        <f t="shared" ref="Q137:W137" si="77">SUM(Q124:Q136)</f>
        <v>#REF!</v>
      </c>
      <c r="R137" s="544">
        <f t="shared" si="77"/>
        <v>0</v>
      </c>
      <c r="S137" s="891">
        <f t="shared" si="77"/>
        <v>0</v>
      </c>
      <c r="T137" s="544">
        <f t="shared" si="77"/>
        <v>0</v>
      </c>
      <c r="U137" s="891">
        <f t="shared" si="77"/>
        <v>0</v>
      </c>
      <c r="V137" s="544">
        <f t="shared" si="77"/>
        <v>0</v>
      </c>
      <c r="W137" s="892">
        <f t="shared" si="77"/>
        <v>0</v>
      </c>
      <c r="X137" s="543" t="e">
        <f>SUM(X124:X136)</f>
        <v>#REF!</v>
      </c>
      <c r="Y137" s="892" t="e">
        <f>SUM(Y124:Y136)</f>
        <v>#REF!</v>
      </c>
      <c r="Z137" s="546" t="e">
        <f t="shared" si="75"/>
        <v>#REF!</v>
      </c>
      <c r="AA137" s="543" t="e">
        <f>SUM(AA124:AA136)</f>
        <v>#REF!</v>
      </c>
      <c r="AB137" s="544">
        <f>IF(AD138=0,0,AC138/AD138*1000000)</f>
        <v>0</v>
      </c>
      <c r="AC137" s="891" t="e">
        <f>Y137+N137+Q137+S137+U137+W137-(D137+H137+J137+L137)</f>
        <v>#REF!</v>
      </c>
      <c r="AD137" s="548" t="e">
        <f>SUM(AD124:AD136)</f>
        <v>#REF!</v>
      </c>
      <c r="AE137" s="847"/>
      <c r="AG137" s="345" t="e">
        <f>SUM(AG124:AG136)</f>
        <v>#REF!</v>
      </c>
    </row>
    <row r="138" spans="1:39" ht="12" thickTop="1"/>
    <row r="139" spans="1:39">
      <c r="I139" s="300"/>
      <c r="L139" s="526" t="s">
        <v>283</v>
      </c>
      <c r="AC139" s="1981"/>
      <c r="AD139" s="1981"/>
      <c r="AE139" s="849"/>
    </row>
    <row r="140" spans="1:39" ht="12" thickBot="1">
      <c r="A140" s="301">
        <f>+A117+1</f>
        <v>2025</v>
      </c>
      <c r="D140" s="305"/>
      <c r="AD140" s="1293" t="s">
        <v>543</v>
      </c>
    </row>
    <row r="141" spans="1:39" ht="12" thickTop="1">
      <c r="A141" s="1985" t="s">
        <v>284</v>
      </c>
      <c r="B141" s="1988" t="s">
        <v>285</v>
      </c>
      <c r="C141" s="1989"/>
      <c r="D141" s="1989"/>
      <c r="E141" s="1990"/>
      <c r="F141" s="1990"/>
      <c r="G141" s="1991" t="s">
        <v>245</v>
      </c>
      <c r="H141" s="1992"/>
      <c r="I141" s="1992"/>
      <c r="J141" s="1992"/>
      <c r="K141" s="1992"/>
      <c r="L141" s="1993"/>
      <c r="M141" s="1991" t="s">
        <v>250</v>
      </c>
      <c r="N141" s="1998"/>
      <c r="O141" s="1998"/>
      <c r="P141" s="1998"/>
      <c r="Q141" s="1998"/>
      <c r="R141" s="1998"/>
      <c r="S141" s="1998"/>
      <c r="T141" s="1998"/>
      <c r="U141" s="1998"/>
      <c r="V141" s="1998"/>
      <c r="W141" s="1999"/>
      <c r="X141" s="1988" t="s">
        <v>286</v>
      </c>
      <c r="Y141" s="1989"/>
      <c r="Z141" s="2000"/>
      <c r="AA141" s="1973" t="s">
        <v>287</v>
      </c>
      <c r="AB141" s="1975" t="s">
        <v>288</v>
      </c>
      <c r="AC141" s="1977" t="s">
        <v>289</v>
      </c>
      <c r="AD141" s="1979" t="s">
        <v>290</v>
      </c>
      <c r="AE141" s="844"/>
      <c r="AF141" s="1983" t="s">
        <v>408</v>
      </c>
      <c r="AG141" s="1984" t="s">
        <v>291</v>
      </c>
    </row>
    <row r="142" spans="1:39">
      <c r="A142" s="1986"/>
      <c r="B142" s="2001" t="s">
        <v>292</v>
      </c>
      <c r="C142" s="2002"/>
      <c r="D142" s="1995" t="s">
        <v>242</v>
      </c>
      <c r="E142" s="1976" t="s">
        <v>293</v>
      </c>
      <c r="F142" s="2005" t="s">
        <v>294</v>
      </c>
      <c r="G142" s="2001" t="s">
        <v>295</v>
      </c>
      <c r="H142" s="2007"/>
      <c r="I142" s="2008" t="s">
        <v>296</v>
      </c>
      <c r="J142" s="2008"/>
      <c r="K142" s="2008" t="s">
        <v>297</v>
      </c>
      <c r="L142" s="2009"/>
      <c r="M142" s="1994" t="s">
        <v>298</v>
      </c>
      <c r="N142" s="2008"/>
      <c r="O142" s="2008" t="s">
        <v>299</v>
      </c>
      <c r="P142" s="2008"/>
      <c r="Q142" s="2008"/>
      <c r="R142" s="2008" t="s">
        <v>300</v>
      </c>
      <c r="S142" s="2008"/>
      <c r="T142" s="2010" t="s">
        <v>301</v>
      </c>
      <c r="U142" s="2010"/>
      <c r="V142" s="2008" t="s">
        <v>302</v>
      </c>
      <c r="W142" s="2009"/>
      <c r="X142" s="1994" t="s">
        <v>292</v>
      </c>
      <c r="Y142" s="1995" t="s">
        <v>242</v>
      </c>
      <c r="Z142" s="1996" t="s">
        <v>293</v>
      </c>
      <c r="AA142" s="1974"/>
      <c r="AB142" s="1976"/>
      <c r="AC142" s="1978"/>
      <c r="AD142" s="1980"/>
      <c r="AE142" s="844"/>
      <c r="AF142" s="1983"/>
      <c r="AG142" s="1984"/>
    </row>
    <row r="143" spans="1:39" ht="45">
      <c r="A143" s="1987"/>
      <c r="B143" s="580" t="s">
        <v>83</v>
      </c>
      <c r="C143" s="581" t="s">
        <v>303</v>
      </c>
      <c r="D143" s="2003"/>
      <c r="E143" s="2004"/>
      <c r="F143" s="2006"/>
      <c r="G143" s="580" t="s">
        <v>292</v>
      </c>
      <c r="H143" s="582" t="s">
        <v>242</v>
      </c>
      <c r="I143" s="579" t="s">
        <v>292</v>
      </c>
      <c r="J143" s="582" t="s">
        <v>242</v>
      </c>
      <c r="K143" s="579" t="s">
        <v>292</v>
      </c>
      <c r="L143" s="308" t="s">
        <v>242</v>
      </c>
      <c r="M143" s="580" t="s">
        <v>292</v>
      </c>
      <c r="N143" s="582" t="s">
        <v>242</v>
      </c>
      <c r="O143" s="579" t="s">
        <v>292</v>
      </c>
      <c r="P143" s="579" t="s">
        <v>304</v>
      </c>
      <c r="Q143" s="582" t="s">
        <v>242</v>
      </c>
      <c r="R143" s="579" t="s">
        <v>292</v>
      </c>
      <c r="S143" s="582" t="s">
        <v>242</v>
      </c>
      <c r="T143" s="579" t="s">
        <v>292</v>
      </c>
      <c r="U143" s="582" t="s">
        <v>242</v>
      </c>
      <c r="V143" s="579" t="s">
        <v>292</v>
      </c>
      <c r="W143" s="308" t="s">
        <v>242</v>
      </c>
      <c r="X143" s="1994"/>
      <c r="Y143" s="1995"/>
      <c r="Z143" s="1997"/>
      <c r="AA143" s="1974"/>
      <c r="AB143" s="1976"/>
      <c r="AC143" s="1978"/>
      <c r="AD143" s="1980"/>
      <c r="AE143" s="844"/>
      <c r="AF143" s="1983"/>
      <c r="AG143" s="1984"/>
    </row>
    <row r="144" spans="1:39" ht="12" thickBot="1">
      <c r="A144" s="527" t="s">
        <v>305</v>
      </c>
      <c r="B144" s="309">
        <v>1</v>
      </c>
      <c r="C144" s="310">
        <v>2</v>
      </c>
      <c r="D144" s="310">
        <v>3</v>
      </c>
      <c r="E144" s="311"/>
      <c r="F144" s="311">
        <v>4</v>
      </c>
      <c r="G144" s="309">
        <v>5</v>
      </c>
      <c r="H144" s="310">
        <v>6</v>
      </c>
      <c r="I144" s="310">
        <v>7</v>
      </c>
      <c r="J144" s="310">
        <v>8</v>
      </c>
      <c r="K144" s="310">
        <v>9</v>
      </c>
      <c r="L144" s="311">
        <v>10</v>
      </c>
      <c r="M144" s="309">
        <v>11</v>
      </c>
      <c r="N144" s="310">
        <v>12</v>
      </c>
      <c r="O144" s="310">
        <v>13</v>
      </c>
      <c r="P144" s="310">
        <v>14</v>
      </c>
      <c r="Q144" s="310">
        <v>15</v>
      </c>
      <c r="R144" s="310">
        <v>16</v>
      </c>
      <c r="S144" s="310">
        <v>17</v>
      </c>
      <c r="T144" s="310">
        <v>18</v>
      </c>
      <c r="U144" s="310">
        <v>19</v>
      </c>
      <c r="V144" s="310">
        <v>20</v>
      </c>
      <c r="W144" s="311">
        <v>21</v>
      </c>
      <c r="X144" s="309">
        <v>22</v>
      </c>
      <c r="Y144" s="310">
        <v>23</v>
      </c>
      <c r="Z144" s="312"/>
      <c r="AA144" s="309">
        <v>24</v>
      </c>
      <c r="AB144" s="310">
        <v>25</v>
      </c>
      <c r="AC144" s="310">
        <v>26</v>
      </c>
      <c r="AD144" s="528">
        <v>27</v>
      </c>
      <c r="AE144" s="845"/>
      <c r="AF144" s="1983"/>
      <c r="AG144" s="1984"/>
    </row>
    <row r="145" spans="1:39" ht="12" thickBot="1">
      <c r="A145" s="529"/>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530"/>
      <c r="AE145" s="845"/>
      <c r="AF145" s="1983"/>
      <c r="AG145" s="1984"/>
    </row>
    <row r="146" spans="1:39" ht="12" thickBot="1">
      <c r="A146" s="531" t="s">
        <v>306</v>
      </c>
      <c r="B146" s="314"/>
      <c r="C146" s="314"/>
      <c r="D146" s="315"/>
      <c r="E146" s="314"/>
      <c r="F146" s="314"/>
      <c r="G146" s="314"/>
      <c r="H146" s="315"/>
      <c r="I146" s="314"/>
      <c r="J146" s="315"/>
      <c r="K146" s="314"/>
      <c r="L146" s="315"/>
      <c r="M146" s="314"/>
      <c r="N146" s="315"/>
      <c r="O146" s="314"/>
      <c r="P146" s="314"/>
      <c r="Q146" s="315"/>
      <c r="R146" s="314"/>
      <c r="S146" s="315"/>
      <c r="T146" s="314"/>
      <c r="U146" s="315"/>
      <c r="V146" s="314"/>
      <c r="W146" s="315"/>
      <c r="X146" s="314"/>
      <c r="Y146" s="315"/>
      <c r="Z146" s="314"/>
      <c r="AA146" s="314"/>
      <c r="AB146" s="314"/>
      <c r="AC146" s="316"/>
      <c r="AD146" s="532"/>
      <c r="AE146" s="846"/>
      <c r="AF146" s="1983"/>
      <c r="AG146" s="1984"/>
      <c r="AH146" s="300" t="e">
        <f>+AG147+AG148</f>
        <v>#REF!</v>
      </c>
    </row>
    <row r="147" spans="1:39">
      <c r="A147" s="533" t="s">
        <v>244</v>
      </c>
      <c r="B147" s="317" t="e">
        <f>+'КРМД-25'!B$7</f>
        <v>#REF!</v>
      </c>
      <c r="C147" s="318">
        <f>'КРМД-25'!$C$7</f>
        <v>0</v>
      </c>
      <c r="D147" s="348" t="e">
        <f t="shared" ref="D147:D159" si="78">Y124</f>
        <v>#REF!</v>
      </c>
      <c r="E147" s="320" t="e">
        <f t="shared" ref="E147:E160" si="79">IF(B147=0,0,D147*1000/B147)</f>
        <v>#REF!</v>
      </c>
      <c r="F147" s="321" t="e">
        <f>+'КРМД-25'!E$7</f>
        <v>#REF!</v>
      </c>
      <c r="G147" s="317">
        <f>'КРМД-25'!R$8</f>
        <v>0</v>
      </c>
      <c r="H147" s="322"/>
      <c r="I147" s="318">
        <f>'КРМД-25'!$R$9</f>
        <v>0</v>
      </c>
      <c r="J147" s="322"/>
      <c r="K147" s="318">
        <f>'КРМД-25'!R$10</f>
        <v>0</v>
      </c>
      <c r="L147" s="323"/>
      <c r="M147" s="317">
        <f>'КРМД-25'!R$12</f>
        <v>0</v>
      </c>
      <c r="N147" s="322"/>
      <c r="O147" s="318"/>
      <c r="P147" s="320">
        <f t="shared" ref="P147:P159" si="80">IF(O147=0,0,Q147*1000/O147)</f>
        <v>0</v>
      </c>
      <c r="Q147" s="322"/>
      <c r="R147" s="318">
        <f>'КРМД-25'!R$14</f>
        <v>0</v>
      </c>
      <c r="S147" s="322"/>
      <c r="T147" s="318">
        <f>'КРМД-25'!R$15</f>
        <v>0</v>
      </c>
      <c r="U147" s="322"/>
      <c r="V147" s="318">
        <f>'КРМД-25'!R$16</f>
        <v>0</v>
      </c>
      <c r="W147" s="323"/>
      <c r="X147" s="324" t="e">
        <f>'КРМД-25'!R$7</f>
        <v>#REF!</v>
      </c>
      <c r="Y147" s="894" t="e">
        <f>X147*0.46</f>
        <v>#REF!</v>
      </c>
      <c r="Z147" s="320" t="e">
        <f t="shared" ref="Z147:Z153" si="81">IF(X147=0,0,Y147*1000/X147)</f>
        <v>#REF!</v>
      </c>
      <c r="AA147" s="317" t="e">
        <f t="shared" ref="AA147:AA159" si="82">AD147/366</f>
        <v>#REF!</v>
      </c>
      <c r="AB147" s="318" t="e">
        <f>IF(AD147=0,0,AC147/AD147*1000000)</f>
        <v>#REF!</v>
      </c>
      <c r="AC147" s="899" t="e">
        <f t="shared" ref="AC147:AC158" si="83">Y147+N147+Q147+S147+U147+W147-(D147+H147+J147+L147)</f>
        <v>#REF!</v>
      </c>
      <c r="AD147" s="534" t="e">
        <f>'КРМД-25'!R$17</f>
        <v>#REF!</v>
      </c>
      <c r="AE147" s="847"/>
      <c r="AF147" s="851">
        <v>0.78</v>
      </c>
      <c r="AG147" s="852" t="e">
        <f>+B147*AF147</f>
        <v>#REF!</v>
      </c>
    </row>
    <row r="148" spans="1:39">
      <c r="A148" s="533" t="s">
        <v>260</v>
      </c>
      <c r="B148" s="317" t="e">
        <f>+'КРМД-25'!B$35</f>
        <v>#REF!</v>
      </c>
      <c r="C148" s="318" t="e">
        <f>'КРМД-25'!$C$35</f>
        <v>#REF!</v>
      </c>
      <c r="D148" s="348" t="e">
        <f t="shared" si="78"/>
        <v>#REF!</v>
      </c>
      <c r="E148" s="320" t="e">
        <f t="shared" si="79"/>
        <v>#REF!</v>
      </c>
      <c r="F148" s="321" t="e">
        <f>+'КРМД-25'!E$35</f>
        <v>#REF!</v>
      </c>
      <c r="G148" s="317" t="e">
        <f>'КРМД-25'!R$36</f>
        <v>#REF!</v>
      </c>
      <c r="H148" s="887" t="e">
        <f>N151</f>
        <v>#REF!</v>
      </c>
      <c r="I148" s="318">
        <f>'КРМД-25'!R$37</f>
        <v>0</v>
      </c>
      <c r="J148" s="322"/>
      <c r="K148" s="318">
        <f>'КРМД-25'!R$38</f>
        <v>0</v>
      </c>
      <c r="L148" s="323"/>
      <c r="M148" s="317">
        <f>'КРМД-25'!R$40</f>
        <v>0</v>
      </c>
      <c r="N148" s="893">
        <f>M148*0.35</f>
        <v>0</v>
      </c>
      <c r="O148" s="318"/>
      <c r="P148" s="320">
        <f t="shared" si="80"/>
        <v>0</v>
      </c>
      <c r="Q148" s="322"/>
      <c r="R148" s="318">
        <f>'КРМД-25'!R$42</f>
        <v>0</v>
      </c>
      <c r="S148" s="322"/>
      <c r="T148" s="318">
        <f>'КРМД-25'!R$43</f>
        <v>0</v>
      </c>
      <c r="U148" s="322"/>
      <c r="V148" s="318">
        <f>'КРМД-25'!R$44</f>
        <v>0</v>
      </c>
      <c r="W148" s="323"/>
      <c r="X148" s="317" t="e">
        <f>'КРМД-25'!R$35</f>
        <v>#REF!</v>
      </c>
      <c r="Y148" s="894" t="e">
        <f>X148*0.35</f>
        <v>#REF!</v>
      </c>
      <c r="Z148" s="320" t="e">
        <f t="shared" si="81"/>
        <v>#REF!</v>
      </c>
      <c r="AA148" s="317" t="e">
        <f t="shared" si="82"/>
        <v>#REF!</v>
      </c>
      <c r="AB148" s="318" t="e">
        <f>IF(AD148=0,0,AC148/AD148*1000000)</f>
        <v>#REF!</v>
      </c>
      <c r="AC148" s="899" t="e">
        <f t="shared" si="83"/>
        <v>#REF!</v>
      </c>
      <c r="AD148" s="535" t="e">
        <f>'КРМД-25'!R$45</f>
        <v>#REF!</v>
      </c>
      <c r="AE148" s="847"/>
      <c r="AF148" s="853">
        <v>1</v>
      </c>
      <c r="AG148" s="852" t="e">
        <f t="shared" ref="AG148:AG159" si="84">+B148*AF148</f>
        <v>#REF!</v>
      </c>
    </row>
    <row r="149" spans="1:39" ht="20.25" customHeight="1">
      <c r="A149" s="533" t="s">
        <v>258</v>
      </c>
      <c r="B149" s="317" t="e">
        <f>+'КРМД-25'!B$21</f>
        <v>#REF!</v>
      </c>
      <c r="C149" s="318">
        <f>'КРМД-25'!$C$21</f>
        <v>0</v>
      </c>
      <c r="D149" s="348" t="e">
        <f t="shared" si="78"/>
        <v>#REF!</v>
      </c>
      <c r="E149" s="320" t="e">
        <f t="shared" si="79"/>
        <v>#REF!</v>
      </c>
      <c r="F149" s="321" t="e">
        <f>+'КРМД-25'!E$21</f>
        <v>#REF!</v>
      </c>
      <c r="G149" s="317">
        <f>'КРМД-25'!$R$22</f>
        <v>0</v>
      </c>
      <c r="H149" s="887">
        <f>N153</f>
        <v>0</v>
      </c>
      <c r="I149" s="318">
        <f>'КРМД-25'!R$23</f>
        <v>0</v>
      </c>
      <c r="J149" s="322"/>
      <c r="K149" s="318">
        <f>'КРМД-25'!R$24</f>
        <v>0</v>
      </c>
      <c r="L149" s="323"/>
      <c r="M149" s="317">
        <f>'КРМД-25'!R$26</f>
        <v>0</v>
      </c>
      <c r="N149" s="887">
        <f>M149*0.64</f>
        <v>0</v>
      </c>
      <c r="O149" s="318"/>
      <c r="P149" s="320">
        <f t="shared" si="80"/>
        <v>0</v>
      </c>
      <c r="Q149" s="322"/>
      <c r="R149" s="318">
        <f>'КРМД-25'!R$28</f>
        <v>0</v>
      </c>
      <c r="S149" s="322"/>
      <c r="T149" s="318">
        <f>'КРМД-25'!R$29</f>
        <v>0</v>
      </c>
      <c r="U149" s="322"/>
      <c r="V149" s="318">
        <f>'КРМД-25'!R$30</f>
        <v>0</v>
      </c>
      <c r="W149" s="323"/>
      <c r="X149" s="317" t="e">
        <f>'КРМД-25'!R$21</f>
        <v>#REF!</v>
      </c>
      <c r="Y149" s="894" t="e">
        <f>X149*0.4</f>
        <v>#REF!</v>
      </c>
      <c r="Z149" s="320" t="e">
        <f t="shared" si="81"/>
        <v>#REF!</v>
      </c>
      <c r="AA149" s="317" t="e">
        <f t="shared" si="82"/>
        <v>#REF!</v>
      </c>
      <c r="AB149" s="318" t="e">
        <f>IF(AD149=0,0,AC149/AD149*1000000)</f>
        <v>#REF!</v>
      </c>
      <c r="AC149" s="899" t="e">
        <f t="shared" si="83"/>
        <v>#REF!</v>
      </c>
      <c r="AD149" s="535" t="e">
        <f>'КРМД-25'!R$31</f>
        <v>#REF!</v>
      </c>
      <c r="AE149" s="847"/>
      <c r="AF149" s="851">
        <v>1</v>
      </c>
      <c r="AG149" s="852" t="e">
        <f t="shared" si="84"/>
        <v>#REF!</v>
      </c>
    </row>
    <row r="150" spans="1:39" ht="12" thickBot="1">
      <c r="A150" s="536" t="s">
        <v>261</v>
      </c>
      <c r="B150" s="328" t="e">
        <f>+'КРМД-25'!B$49</f>
        <v>#REF!</v>
      </c>
      <c r="C150" s="329" t="e">
        <f>'КРМД-25'!$C$49</f>
        <v>#REF!</v>
      </c>
      <c r="D150" s="349" t="e">
        <f t="shared" si="78"/>
        <v>#REF!</v>
      </c>
      <c r="E150" s="331" t="e">
        <f t="shared" si="79"/>
        <v>#REF!</v>
      </c>
      <c r="F150" s="321">
        <f>+'КРМД-25'!E$49</f>
        <v>0</v>
      </c>
      <c r="G150" s="328">
        <f>'КРМД-25'!R$50</f>
        <v>0</v>
      </c>
      <c r="H150" s="888">
        <f>N147+N148+N149</f>
        <v>0</v>
      </c>
      <c r="I150" s="329">
        <f>'КРМД-25'!R$51</f>
        <v>0</v>
      </c>
      <c r="J150" s="332"/>
      <c r="K150" s="329">
        <f>'КРМД-25'!R$52</f>
        <v>0</v>
      </c>
      <c r="L150" s="333"/>
      <c r="M150" s="328">
        <f>'КРМД-25'!R$54</f>
        <v>0</v>
      </c>
      <c r="N150" s="888"/>
      <c r="O150" s="329">
        <f>'КРМД-25'!R$55</f>
        <v>0</v>
      </c>
      <c r="P150" s="331">
        <f t="shared" si="80"/>
        <v>0</v>
      </c>
      <c r="Q150" s="888">
        <f>O150*0.37</f>
        <v>0</v>
      </c>
      <c r="R150" s="329">
        <f>'КРМД-25'!R$56</f>
        <v>0</v>
      </c>
      <c r="S150" s="332"/>
      <c r="T150" s="329">
        <f>'КРМД-25'!R$57</f>
        <v>0</v>
      </c>
      <c r="U150" s="332"/>
      <c r="V150" s="329">
        <f>'КРМД-25'!R$58</f>
        <v>0</v>
      </c>
      <c r="W150" s="333"/>
      <c r="X150" s="328" t="e">
        <f>'КРМД-25'!R$49</f>
        <v>#REF!</v>
      </c>
      <c r="Y150" s="897" t="e">
        <f>X150*0.45</f>
        <v>#REF!</v>
      </c>
      <c r="Z150" s="331" t="e">
        <f t="shared" si="81"/>
        <v>#REF!</v>
      </c>
      <c r="AA150" s="328" t="e">
        <f t="shared" si="82"/>
        <v>#REF!</v>
      </c>
      <c r="AB150" s="329" t="e">
        <f>IF(AD150=0,0,AC150/AD150*1000000)</f>
        <v>#REF!</v>
      </c>
      <c r="AC150" s="900" t="e">
        <f t="shared" si="83"/>
        <v>#REF!</v>
      </c>
      <c r="AD150" s="537" t="e">
        <f>'КРМД-25'!R$59</f>
        <v>#REF!</v>
      </c>
      <c r="AE150" s="847"/>
      <c r="AF150" s="851">
        <v>0.5</v>
      </c>
      <c r="AG150" s="852" t="e">
        <f t="shared" si="84"/>
        <v>#REF!</v>
      </c>
      <c r="AH150" s="856" t="e">
        <f>SUM(AG150:AG159)</f>
        <v>#REF!</v>
      </c>
    </row>
    <row r="151" spans="1:39">
      <c r="A151" s="538" t="s">
        <v>263</v>
      </c>
      <c r="B151" s="324" t="e">
        <f>+'КРМД-25'!B$63</f>
        <v>#REF!</v>
      </c>
      <c r="C151" s="326" t="e">
        <f>'КРМД-25'!$C$63</f>
        <v>#REF!</v>
      </c>
      <c r="D151" s="350" t="e">
        <f t="shared" si="78"/>
        <v>#REF!</v>
      </c>
      <c r="E151" s="325" t="e">
        <f t="shared" si="79"/>
        <v>#REF!</v>
      </c>
      <c r="F151" s="321" t="e">
        <f>+'КРМД-25'!E$63</f>
        <v>#REF!</v>
      </c>
      <c r="G151" s="324" t="e">
        <f>'КРМД-25'!R$64</f>
        <v>#REF!</v>
      </c>
      <c r="H151" s="889" t="e">
        <f>N152</f>
        <v>#REF!</v>
      </c>
      <c r="I151" s="326">
        <f>'КРМД-25'!R$65</f>
        <v>0</v>
      </c>
      <c r="J151" s="335"/>
      <c r="K151" s="326">
        <f>'КРМД-25'!R$66</f>
        <v>0</v>
      </c>
      <c r="L151" s="336"/>
      <c r="M151" s="324" t="e">
        <f>'КРМД-25'!R$68</f>
        <v>#REF!</v>
      </c>
      <c r="N151" s="889" t="e">
        <f>M151*0.35</f>
        <v>#REF!</v>
      </c>
      <c r="O151" s="326">
        <f>'КРМД-25'!R$69</f>
        <v>0</v>
      </c>
      <c r="P151" s="325">
        <f t="shared" si="80"/>
        <v>0</v>
      </c>
      <c r="Q151" s="889">
        <f>O151*0.35</f>
        <v>0</v>
      </c>
      <c r="R151" s="326">
        <f>'КРМД-25'!R$70</f>
        <v>0</v>
      </c>
      <c r="S151" s="337"/>
      <c r="T151" s="326">
        <f>'КРМД-25'!R$71</f>
        <v>0</v>
      </c>
      <c r="U151" s="337"/>
      <c r="V151" s="326">
        <f>'КРМД-25'!R$72</f>
        <v>0</v>
      </c>
      <c r="W151" s="338"/>
      <c r="X151" s="324" t="e">
        <f>'КРМД-25'!R$63</f>
        <v>#REF!</v>
      </c>
      <c r="Y151" s="896" t="e">
        <f>X151*0.35</f>
        <v>#REF!</v>
      </c>
      <c r="Z151" s="325" t="e">
        <f t="shared" si="81"/>
        <v>#REF!</v>
      </c>
      <c r="AA151" s="324" t="e">
        <f t="shared" si="82"/>
        <v>#REF!</v>
      </c>
      <c r="AB151" s="326" t="e">
        <f>IF(AD151=0,0,AC151/AD151*1000000)</f>
        <v>#REF!</v>
      </c>
      <c r="AC151" s="898" t="e">
        <f t="shared" si="83"/>
        <v>#REF!</v>
      </c>
      <c r="AD151" s="534" t="e">
        <f>'КРМД-25'!R$73</f>
        <v>#REF!</v>
      </c>
      <c r="AE151" s="847"/>
      <c r="AF151" s="851">
        <v>0.61</v>
      </c>
      <c r="AG151" s="852" t="e">
        <f t="shared" si="84"/>
        <v>#REF!</v>
      </c>
    </row>
    <row r="152" spans="1:39">
      <c r="A152" s="533" t="s">
        <v>264</v>
      </c>
      <c r="B152" s="317" t="e">
        <f>+'КРМД-25'!B$77</f>
        <v>#REF!</v>
      </c>
      <c r="C152" s="318" t="e">
        <f>'КРМД-25'!$C$77</f>
        <v>#REF!</v>
      </c>
      <c r="D152" s="348" t="e">
        <f t="shared" si="78"/>
        <v>#REF!</v>
      </c>
      <c r="E152" s="320" t="e">
        <f t="shared" si="79"/>
        <v>#REF!</v>
      </c>
      <c r="F152" s="321" t="e">
        <f>+'КРМД-25'!E$77</f>
        <v>#REF!</v>
      </c>
      <c r="G152" s="317" t="e">
        <f>'КРМД-25'!R$78</f>
        <v>#REF!</v>
      </c>
      <c r="H152" s="887" t="e">
        <f t="shared" ref="H152:H157" si="85">N154</f>
        <v>#REF!</v>
      </c>
      <c r="I152" s="318">
        <f>'КРМД-25'!R$79</f>
        <v>0</v>
      </c>
      <c r="J152" s="322"/>
      <c r="K152" s="318">
        <f>'КРМД-25'!R$80</f>
        <v>0</v>
      </c>
      <c r="L152" s="323"/>
      <c r="M152" s="317" t="e">
        <f>'КРМД-25'!R$82</f>
        <v>#REF!</v>
      </c>
      <c r="N152" s="887" t="e">
        <f>M152*0.298</f>
        <v>#REF!</v>
      </c>
      <c r="O152" s="318">
        <f>'КРМД-25'!R$83</f>
        <v>0</v>
      </c>
      <c r="P152" s="320">
        <f t="shared" si="80"/>
        <v>0</v>
      </c>
      <c r="Q152" s="887"/>
      <c r="R152" s="318">
        <f>'КРМД-25'!R$84</f>
        <v>0</v>
      </c>
      <c r="S152" s="322"/>
      <c r="T152" s="318">
        <f>'КРМД-25'!R$85</f>
        <v>0</v>
      </c>
      <c r="U152" s="322"/>
      <c r="V152" s="318">
        <f>'КРМД-25'!R$86</f>
        <v>0</v>
      </c>
      <c r="W152" s="323"/>
      <c r="X152" s="317" t="e">
        <f>'КРМД-25'!R$77</f>
        <v>#REF!</v>
      </c>
      <c r="Y152" s="894" t="e">
        <f>X152*0.28</f>
        <v>#REF!</v>
      </c>
      <c r="Z152" s="320" t="e">
        <f t="shared" si="81"/>
        <v>#REF!</v>
      </c>
      <c r="AA152" s="317" t="e">
        <f t="shared" si="82"/>
        <v>#REF!</v>
      </c>
      <c r="AB152" s="318" t="e">
        <f>IF(AD152=0,0,AC152/AD152*100000)</f>
        <v>#REF!</v>
      </c>
      <c r="AC152" s="899" t="e">
        <f t="shared" si="83"/>
        <v>#REF!</v>
      </c>
      <c r="AD152" s="535" t="e">
        <f>'КРМД-25'!R$87</f>
        <v>#REF!</v>
      </c>
      <c r="AE152" s="847"/>
      <c r="AF152" s="851">
        <v>0.57999999999999996</v>
      </c>
      <c r="AG152" s="852" t="e">
        <f t="shared" si="84"/>
        <v>#REF!</v>
      </c>
    </row>
    <row r="153" spans="1:39">
      <c r="A153" s="533" t="s">
        <v>267</v>
      </c>
      <c r="B153" s="317" t="e">
        <f>+'КРМД-24'!B$119</f>
        <v>#REF!</v>
      </c>
      <c r="C153" s="318" t="e">
        <f>'КРМД-25'!$C$119</f>
        <v>#REF!</v>
      </c>
      <c r="D153" s="348" t="e">
        <f t="shared" si="78"/>
        <v>#REF!</v>
      </c>
      <c r="E153" s="320" t="e">
        <f t="shared" si="79"/>
        <v>#REF!</v>
      </c>
      <c r="F153" s="321">
        <f>+'КРМД-25'!E$119</f>
        <v>0</v>
      </c>
      <c r="G153" s="317">
        <f>'КРМД-25'!R$120</f>
        <v>0</v>
      </c>
      <c r="H153" s="887">
        <f t="shared" si="85"/>
        <v>0</v>
      </c>
      <c r="I153" s="318">
        <f>'КРМД-25'!R$121</f>
        <v>0</v>
      </c>
      <c r="J153" s="322"/>
      <c r="K153" s="318">
        <f>'КРМД-25'!R$122</f>
        <v>0</v>
      </c>
      <c r="L153" s="323"/>
      <c r="M153" s="317">
        <f>'КРМД-25'!R$124</f>
        <v>0</v>
      </c>
      <c r="N153" s="887"/>
      <c r="O153" s="318" t="e">
        <f>'КРМД-25'!R$125</f>
        <v>#REF!</v>
      </c>
      <c r="P153" s="320" t="e">
        <f t="shared" si="80"/>
        <v>#REF!</v>
      </c>
      <c r="Q153" s="887"/>
      <c r="R153" s="318">
        <f>'КРМД-25'!R$126</f>
        <v>0</v>
      </c>
      <c r="S153" s="887"/>
      <c r="T153" s="318">
        <f>'КРМД-25'!R$127</f>
        <v>0</v>
      </c>
      <c r="U153" s="322"/>
      <c r="V153" s="318">
        <f>'КРМД-25'!R$128</f>
        <v>0</v>
      </c>
      <c r="W153" s="323"/>
      <c r="X153" s="317" t="e">
        <f>'КРМД-25'!R$119</f>
        <v>#REF!</v>
      </c>
      <c r="Y153" s="894" t="e">
        <f>X153*0.3</f>
        <v>#REF!</v>
      </c>
      <c r="Z153" s="320" t="e">
        <f t="shared" si="81"/>
        <v>#REF!</v>
      </c>
      <c r="AA153" s="317" t="e">
        <f t="shared" si="82"/>
        <v>#REF!</v>
      </c>
      <c r="AB153" s="318" t="e">
        <f t="shared" ref="AB153:AB159" si="86">IF(AD153=0,0,AC153/AD153*1000000)</f>
        <v>#REF!</v>
      </c>
      <c r="AC153" s="899" t="e">
        <f t="shared" si="83"/>
        <v>#REF!</v>
      </c>
      <c r="AD153" s="535" t="e">
        <f>'КРМД-25'!R$129</f>
        <v>#REF!</v>
      </c>
      <c r="AE153" s="847"/>
      <c r="AF153" s="851">
        <v>0.57999999999999996</v>
      </c>
      <c r="AG153" s="852" t="e">
        <f t="shared" si="84"/>
        <v>#REF!</v>
      </c>
    </row>
    <row r="154" spans="1:39">
      <c r="A154" s="533" t="s">
        <v>265</v>
      </c>
      <c r="B154" s="317" t="e">
        <f>+'КРМД-25'!B$91</f>
        <v>#REF!</v>
      </c>
      <c r="C154" s="318" t="e">
        <f>'КРМД-25'!$C$91</f>
        <v>#REF!</v>
      </c>
      <c r="D154" s="348" t="e">
        <f t="shared" si="78"/>
        <v>#REF!</v>
      </c>
      <c r="E154" s="320" t="e">
        <f t="shared" si="79"/>
        <v>#REF!</v>
      </c>
      <c r="F154" s="321" t="e">
        <f>+'КРМД-25'!E$91</f>
        <v>#REF!</v>
      </c>
      <c r="G154" s="317" t="e">
        <f>'КРМД-25'!R$92</f>
        <v>#REF!</v>
      </c>
      <c r="H154" s="887" t="e">
        <f t="shared" si="85"/>
        <v>#REF!</v>
      </c>
      <c r="I154" s="318">
        <f>'КРМД-25'!R$93</f>
        <v>0</v>
      </c>
      <c r="J154" s="322"/>
      <c r="K154" s="318">
        <f>'КРМД-25'!R$94</f>
        <v>0</v>
      </c>
      <c r="L154" s="323"/>
      <c r="M154" s="317" t="e">
        <f>'КРМД-25'!R$96</f>
        <v>#REF!</v>
      </c>
      <c r="N154" s="887" t="e">
        <f>M154*0.28</f>
        <v>#REF!</v>
      </c>
      <c r="O154" s="318">
        <f>'КРМД-25'!R$97</f>
        <v>0</v>
      </c>
      <c r="P154" s="320">
        <f t="shared" si="80"/>
        <v>0</v>
      </c>
      <c r="Q154" s="887">
        <f>O154*0.298</f>
        <v>0</v>
      </c>
      <c r="R154" s="318">
        <f>'КРМД-25'!R$98</f>
        <v>0</v>
      </c>
      <c r="S154" s="887">
        <f>+R154*0.3</f>
        <v>0</v>
      </c>
      <c r="T154" s="318">
        <f>'КРМД-25'!R$99</f>
        <v>0</v>
      </c>
      <c r="U154" s="322"/>
      <c r="V154" s="318">
        <f>'КРМД-25'!R$100</f>
        <v>0</v>
      </c>
      <c r="W154" s="323"/>
      <c r="X154" s="317" t="e">
        <f>'КРМД-25'!R$91</f>
        <v>#REF!</v>
      </c>
      <c r="Y154" s="894" t="e">
        <f>X154*0.265</f>
        <v>#REF!</v>
      </c>
      <c r="Z154" s="320" t="e">
        <f>IF(X154=0,0,Y154*1000/X154)</f>
        <v>#REF!</v>
      </c>
      <c r="AA154" s="317" t="e">
        <f t="shared" si="82"/>
        <v>#REF!</v>
      </c>
      <c r="AB154" s="318" t="e">
        <f t="shared" si="86"/>
        <v>#REF!</v>
      </c>
      <c r="AC154" s="899" t="e">
        <f t="shared" si="83"/>
        <v>#REF!</v>
      </c>
      <c r="AD154" s="535" t="e">
        <f>'КРМД-25'!R$101</f>
        <v>#REF!</v>
      </c>
      <c r="AE154" s="847"/>
      <c r="AF154" s="851">
        <v>0.54</v>
      </c>
      <c r="AG154" s="852" t="e">
        <f t="shared" si="84"/>
        <v>#REF!</v>
      </c>
    </row>
    <row r="155" spans="1:39">
      <c r="A155" s="533" t="s">
        <v>268</v>
      </c>
      <c r="B155" s="317" t="e">
        <f>+'КРМД-25'!B$133</f>
        <v>#REF!</v>
      </c>
      <c r="C155" s="318" t="e">
        <f>'КРМД-25'!$C$133</f>
        <v>#REF!</v>
      </c>
      <c r="D155" s="348" t="e">
        <f t="shared" si="78"/>
        <v>#REF!</v>
      </c>
      <c r="E155" s="320" t="e">
        <f t="shared" si="79"/>
        <v>#REF!</v>
      </c>
      <c r="F155" s="321" t="e">
        <f>+'КРМД-25'!E$133</f>
        <v>#REF!</v>
      </c>
      <c r="G155" s="317" t="e">
        <f>'КРМД-25'!R$134</f>
        <v>#REF!</v>
      </c>
      <c r="H155" s="887" t="e">
        <f t="shared" si="85"/>
        <v>#REF!</v>
      </c>
      <c r="I155" s="318">
        <f>'КРМД-24'!R$135</f>
        <v>0</v>
      </c>
      <c r="J155" s="322"/>
      <c r="K155" s="318">
        <f>'КРМД-25'!R$136</f>
        <v>0</v>
      </c>
      <c r="L155" s="323"/>
      <c r="M155" s="317">
        <f>'КРМД-25'!R$138</f>
        <v>0</v>
      </c>
      <c r="N155" s="887">
        <f>M155*0.25</f>
        <v>0</v>
      </c>
      <c r="O155" s="318" t="e">
        <f>'КРМД-25'!R$139</f>
        <v>#REF!</v>
      </c>
      <c r="P155" s="320" t="e">
        <f t="shared" si="80"/>
        <v>#REF!</v>
      </c>
      <c r="Q155" s="887" t="e">
        <f>O155*0.257</f>
        <v>#REF!</v>
      </c>
      <c r="R155" s="318">
        <f>'КРМД-25'!R$140</f>
        <v>0</v>
      </c>
      <c r="S155" s="887"/>
      <c r="T155" s="318">
        <f>'КРМД-25'!R$141</f>
        <v>0</v>
      </c>
      <c r="U155" s="322"/>
      <c r="V155" s="318">
        <f>'КРМД-25'!R$142</f>
        <v>0</v>
      </c>
      <c r="W155" s="323"/>
      <c r="X155" s="317" t="e">
        <f>'КРМД-25'!R$133</f>
        <v>#REF!</v>
      </c>
      <c r="Y155" s="894" t="e">
        <f>X155*0.257</f>
        <v>#REF!</v>
      </c>
      <c r="Z155" s="320" t="e">
        <f t="shared" ref="Z155:Z160" si="87">IF(X155=0,0,Y155*1000/X155)</f>
        <v>#REF!</v>
      </c>
      <c r="AA155" s="317" t="e">
        <f t="shared" si="82"/>
        <v>#REF!</v>
      </c>
      <c r="AB155" s="318" t="e">
        <f t="shared" si="86"/>
        <v>#REF!</v>
      </c>
      <c r="AC155" s="899" t="e">
        <f t="shared" si="83"/>
        <v>#REF!</v>
      </c>
      <c r="AD155" s="535" t="e">
        <f>'КРМД-25'!R$143</f>
        <v>#REF!</v>
      </c>
      <c r="AE155" s="847"/>
      <c r="AF155" s="851">
        <v>0.54</v>
      </c>
      <c r="AG155" s="852" t="e">
        <f t="shared" si="84"/>
        <v>#REF!</v>
      </c>
    </row>
    <row r="156" spans="1:39">
      <c r="A156" s="533" t="s">
        <v>266</v>
      </c>
      <c r="B156" s="317" t="e">
        <f>+'КРМД-25'!B$105</f>
        <v>#REF!</v>
      </c>
      <c r="C156" s="318" t="e">
        <f>'КРМД-25'!$C$105</f>
        <v>#REF!</v>
      </c>
      <c r="D156" s="348" t="e">
        <f t="shared" si="78"/>
        <v>#REF!</v>
      </c>
      <c r="E156" s="320" t="e">
        <f t="shared" si="79"/>
        <v>#REF!</v>
      </c>
      <c r="F156" s="321" t="e">
        <f>+'КРМД-25'!E$105</f>
        <v>#REF!</v>
      </c>
      <c r="G156" s="317" t="e">
        <f>'КРМД-25'!R$106</f>
        <v>#REF!</v>
      </c>
      <c r="H156" s="887" t="e">
        <f t="shared" si="85"/>
        <v>#REF!</v>
      </c>
      <c r="I156" s="318">
        <f>'КРМД-24'!R$107</f>
        <v>0</v>
      </c>
      <c r="J156" s="322"/>
      <c r="K156" s="318">
        <f>'КРМД-25'!R$108</f>
        <v>0</v>
      </c>
      <c r="L156" s="323"/>
      <c r="M156" s="317" t="e">
        <f>'КРМД-25'!R$110</f>
        <v>#REF!</v>
      </c>
      <c r="N156" s="887" t="e">
        <f>M156*0.22</f>
        <v>#REF!</v>
      </c>
      <c r="O156" s="318">
        <f>'КРМД-25'!R$111</f>
        <v>0</v>
      </c>
      <c r="P156" s="320">
        <f t="shared" si="80"/>
        <v>0</v>
      </c>
      <c r="Q156" s="887">
        <f>O156*0.23</f>
        <v>0</v>
      </c>
      <c r="R156" s="318">
        <f>'КРМД-25'!R$112</f>
        <v>0</v>
      </c>
      <c r="S156" s="887">
        <f>R156*0.265</f>
        <v>0</v>
      </c>
      <c r="T156" s="318">
        <f>'КРМД-25'!R$113</f>
        <v>0</v>
      </c>
      <c r="U156" s="887">
        <f>T156*0.155</f>
        <v>0</v>
      </c>
      <c r="V156" s="318">
        <f>'КРМД-25'!R$114</f>
        <v>0</v>
      </c>
      <c r="W156" s="323"/>
      <c r="X156" s="317" t="e">
        <f>'КРМД-25'!R$105</f>
        <v>#REF!</v>
      </c>
      <c r="Y156" s="894" t="e">
        <f>X156*0.13</f>
        <v>#REF!</v>
      </c>
      <c r="Z156" s="320" t="e">
        <f t="shared" si="87"/>
        <v>#REF!</v>
      </c>
      <c r="AA156" s="317" t="e">
        <f t="shared" si="82"/>
        <v>#REF!</v>
      </c>
      <c r="AB156" s="318" t="e">
        <f t="shared" si="86"/>
        <v>#REF!</v>
      </c>
      <c r="AC156" s="899" t="e">
        <f t="shared" si="83"/>
        <v>#REF!</v>
      </c>
      <c r="AD156" s="535" t="e">
        <f>'КРМД-25'!R$115</f>
        <v>#REF!</v>
      </c>
      <c r="AE156" s="847"/>
      <c r="AF156" s="851">
        <v>0.35</v>
      </c>
      <c r="AG156" s="852" t="e">
        <f t="shared" si="84"/>
        <v>#REF!</v>
      </c>
    </row>
    <row r="157" spans="1:39">
      <c r="A157" s="533" t="s">
        <v>269</v>
      </c>
      <c r="B157" s="317" t="e">
        <f>+'КРМД-25'!B$147</f>
        <v>#REF!</v>
      </c>
      <c r="C157" s="318" t="e">
        <f>'КРМД-25'!$C$147</f>
        <v>#REF!</v>
      </c>
      <c r="D157" s="348" t="e">
        <f t="shared" si="78"/>
        <v>#REF!</v>
      </c>
      <c r="E157" s="320" t="e">
        <f t="shared" si="79"/>
        <v>#REF!</v>
      </c>
      <c r="F157" s="321" t="e">
        <f>+'КРМД-25'!E$147</f>
        <v>#REF!</v>
      </c>
      <c r="G157" s="317" t="e">
        <f>'КРМД-25'!R$148</f>
        <v>#REF!</v>
      </c>
      <c r="H157" s="887" t="e">
        <f t="shared" si="85"/>
        <v>#REF!</v>
      </c>
      <c r="I157" s="318">
        <f>'КРМД-25'!R$149</f>
        <v>0</v>
      </c>
      <c r="J157" s="322"/>
      <c r="K157" s="318">
        <f>'КРМД-25'!R$150</f>
        <v>0</v>
      </c>
      <c r="L157" s="323"/>
      <c r="M157" s="317" t="e">
        <f>'КРМД-25'!R$152</f>
        <v>#REF!</v>
      </c>
      <c r="N157" s="887" t="e">
        <f>M157*0.24</f>
        <v>#REF!</v>
      </c>
      <c r="O157" s="318">
        <f>'КРМД-25'!R$153</f>
        <v>0</v>
      </c>
      <c r="P157" s="320">
        <f t="shared" si="80"/>
        <v>0</v>
      </c>
      <c r="Q157" s="887">
        <f>O157*0.25</f>
        <v>0</v>
      </c>
      <c r="R157" s="318">
        <f>'КРМД-25'!R$154</f>
        <v>0</v>
      </c>
      <c r="S157" s="887"/>
      <c r="T157" s="318">
        <f>'КРМД-25'!R$155</f>
        <v>0</v>
      </c>
      <c r="U157" s="887"/>
      <c r="V157" s="318">
        <f>'КРМД-25'!R$156</f>
        <v>0</v>
      </c>
      <c r="W157" s="323"/>
      <c r="X157" s="317" t="e">
        <f>'КРМД-25'!R$147</f>
        <v>#REF!</v>
      </c>
      <c r="Y157" s="894" t="e">
        <f>X157*0.15</f>
        <v>#REF!</v>
      </c>
      <c r="Z157" s="320" t="e">
        <f t="shared" si="87"/>
        <v>#REF!</v>
      </c>
      <c r="AA157" s="317" t="e">
        <f t="shared" si="82"/>
        <v>#REF!</v>
      </c>
      <c r="AB157" s="318" t="e">
        <f t="shared" si="86"/>
        <v>#REF!</v>
      </c>
      <c r="AC157" s="899" t="e">
        <f t="shared" si="83"/>
        <v>#REF!</v>
      </c>
      <c r="AD157" s="535" t="e">
        <f>'КРМД-25'!R$157</f>
        <v>#REF!</v>
      </c>
      <c r="AE157" s="847"/>
      <c r="AF157" s="851">
        <v>0.35</v>
      </c>
      <c r="AG157" s="852" t="e">
        <f t="shared" si="84"/>
        <v>#REF!</v>
      </c>
    </row>
    <row r="158" spans="1:39" ht="22.5">
      <c r="A158" s="539" t="s">
        <v>270</v>
      </c>
      <c r="B158" s="317"/>
      <c r="C158" s="318">
        <f>'КРМД-25'!$C$161</f>
        <v>0</v>
      </c>
      <c r="D158" s="348" t="e">
        <f t="shared" si="78"/>
        <v>#REF!</v>
      </c>
      <c r="E158" s="320">
        <f t="shared" si="79"/>
        <v>0</v>
      </c>
      <c r="F158" s="321">
        <f>+'КРМД-25'!E$18</f>
        <v>0</v>
      </c>
      <c r="G158" s="317" t="e">
        <f>'КРМД-25'!R$162</f>
        <v>#REF!</v>
      </c>
      <c r="H158" s="887" t="e">
        <f>G158*0.022</f>
        <v>#REF!</v>
      </c>
      <c r="I158" s="318">
        <f>'КРМД-25'!R$163</f>
        <v>0</v>
      </c>
      <c r="J158" s="322"/>
      <c r="K158" s="318">
        <f>'КРМД-25'!R$164</f>
        <v>0</v>
      </c>
      <c r="L158" s="323"/>
      <c r="M158" s="317" t="e">
        <f>'КРМД-25'!R$166</f>
        <v>#REF!</v>
      </c>
      <c r="N158" s="887" t="e">
        <f>M158*0.13</f>
        <v>#REF!</v>
      </c>
      <c r="O158" s="318">
        <f>'КРМД-25'!R$167</f>
        <v>0</v>
      </c>
      <c r="P158" s="320">
        <f t="shared" si="80"/>
        <v>0</v>
      </c>
      <c r="Q158" s="887"/>
      <c r="R158" s="318">
        <f>'КРМД-25'!R$168</f>
        <v>0</v>
      </c>
      <c r="S158" s="887">
        <f>R158*0.08</f>
        <v>0</v>
      </c>
      <c r="T158" s="318">
        <f>'КРМД-25'!R$169</f>
        <v>0</v>
      </c>
      <c r="U158" s="887">
        <f>T158*0.15</f>
        <v>0</v>
      </c>
      <c r="V158" s="318">
        <f>'КРМД-25'!R$170</f>
        <v>0</v>
      </c>
      <c r="W158" s="894">
        <f>V158*0.03</f>
        <v>0</v>
      </c>
      <c r="X158" s="317" t="e">
        <f>'КРМД-25'!R$161</f>
        <v>#REF!</v>
      </c>
      <c r="Y158" s="894" t="e">
        <f>X158*0.1</f>
        <v>#REF!</v>
      </c>
      <c r="Z158" s="320" t="e">
        <f t="shared" si="87"/>
        <v>#REF!</v>
      </c>
      <c r="AA158" s="317" t="e">
        <f t="shared" si="82"/>
        <v>#REF!</v>
      </c>
      <c r="AB158" s="318" t="e">
        <f t="shared" si="86"/>
        <v>#REF!</v>
      </c>
      <c r="AC158" s="899" t="e">
        <f t="shared" si="83"/>
        <v>#REF!</v>
      </c>
      <c r="AD158" s="535" t="e">
        <f>'КРМД-25'!R$171</f>
        <v>#REF!</v>
      </c>
      <c r="AE158" s="847"/>
      <c r="AF158" s="851">
        <v>0.125</v>
      </c>
      <c r="AG158" s="852">
        <f t="shared" si="84"/>
        <v>0</v>
      </c>
      <c r="AI158" s="1982" t="s">
        <v>77</v>
      </c>
      <c r="AJ158" s="1982"/>
      <c r="AK158" s="1982"/>
      <c r="AL158" s="1982"/>
      <c r="AM158" s="1982"/>
    </row>
    <row r="159" spans="1:39" ht="23.25" thickBot="1">
      <c r="A159" s="540" t="s">
        <v>272</v>
      </c>
      <c r="B159" s="339"/>
      <c r="C159" s="340">
        <f>'КРМД-25'!$C$175</f>
        <v>0</v>
      </c>
      <c r="D159" s="351" t="e">
        <f t="shared" si="78"/>
        <v>#REF!</v>
      </c>
      <c r="E159" s="342">
        <f t="shared" si="79"/>
        <v>0</v>
      </c>
      <c r="F159" s="321">
        <f>+'КРМД-25'!E$19</f>
        <v>0</v>
      </c>
      <c r="G159" s="339" t="e">
        <f>'КРМД-25'!R$176</f>
        <v>#REF!</v>
      </c>
      <c r="H159" s="890" t="e">
        <f>G159*0.022</f>
        <v>#REF!</v>
      </c>
      <c r="I159" s="340">
        <f>'КРМД-25'!R$177</f>
        <v>0</v>
      </c>
      <c r="J159" s="343"/>
      <c r="K159" s="340">
        <f>'КРМД-25'!R$178</f>
        <v>0</v>
      </c>
      <c r="L159" s="344"/>
      <c r="M159" s="339" t="e">
        <f>'КРМД-25'!R$180</f>
        <v>#REF!</v>
      </c>
      <c r="N159" s="890" t="e">
        <f>M159*0.15</f>
        <v>#REF!</v>
      </c>
      <c r="O159" s="340">
        <f>'КРМД-25'!R$181</f>
        <v>0</v>
      </c>
      <c r="P159" s="342">
        <f t="shared" si="80"/>
        <v>0</v>
      </c>
      <c r="Q159" s="890">
        <f>O159*0.12</f>
        <v>0</v>
      </c>
      <c r="R159" s="340">
        <f>'КРМД-25'!R$182</f>
        <v>0</v>
      </c>
      <c r="S159" s="890">
        <f>+R159*0.09</f>
        <v>0</v>
      </c>
      <c r="T159" s="340">
        <f>'КРМД-25'!R$183</f>
        <v>0</v>
      </c>
      <c r="U159" s="890">
        <f>T159*0.15</f>
        <v>0</v>
      </c>
      <c r="V159" s="340">
        <f>'КРМД-25'!R$184</f>
        <v>0</v>
      </c>
      <c r="W159" s="895">
        <f>V159*0.03</f>
        <v>0</v>
      </c>
      <c r="X159" s="339" t="e">
        <f>'КРМД-25'!R$175</f>
        <v>#REF!</v>
      </c>
      <c r="Y159" s="895" t="e">
        <f>X159*0.13</f>
        <v>#REF!</v>
      </c>
      <c r="Z159" s="342" t="e">
        <f t="shared" si="87"/>
        <v>#REF!</v>
      </c>
      <c r="AA159" s="339" t="e">
        <f t="shared" si="82"/>
        <v>#REF!</v>
      </c>
      <c r="AB159" s="340" t="e">
        <f t="shared" si="86"/>
        <v>#REF!</v>
      </c>
      <c r="AC159" s="901" t="e">
        <f>Y159+N159+Q159+S159+U159+W159-(D159+H159+J159+L159)</f>
        <v>#REF!</v>
      </c>
      <c r="AD159" s="541" t="e">
        <f>'КРМД-25'!R$185</f>
        <v>#REF!</v>
      </c>
      <c r="AE159" s="847"/>
      <c r="AF159" s="851">
        <v>0.125</v>
      </c>
      <c r="AG159" s="852">
        <f t="shared" si="84"/>
        <v>0</v>
      </c>
    </row>
    <row r="160" spans="1:39" ht="12" thickBot="1">
      <c r="A160" s="542" t="s">
        <v>238</v>
      </c>
      <c r="B160" s="543" t="e">
        <f>SUM(B147:B159)</f>
        <v>#REF!</v>
      </c>
      <c r="C160" s="544" t="e">
        <f>SUM(C147:C159)</f>
        <v>#REF!</v>
      </c>
      <c r="D160" s="545" t="e">
        <f>SUM(D147:D159)</f>
        <v>#REF!</v>
      </c>
      <c r="E160" s="546" t="e">
        <f t="shared" si="79"/>
        <v>#REF!</v>
      </c>
      <c r="F160" s="547" t="e">
        <f t="shared" ref="F160:O160" si="88">SUM(F147:F159)</f>
        <v>#REF!</v>
      </c>
      <c r="G160" s="543" t="e">
        <f t="shared" si="88"/>
        <v>#REF!</v>
      </c>
      <c r="H160" s="891" t="e">
        <f t="shared" si="88"/>
        <v>#REF!</v>
      </c>
      <c r="I160" s="544">
        <f t="shared" si="88"/>
        <v>0</v>
      </c>
      <c r="J160" s="891">
        <f t="shared" si="88"/>
        <v>0</v>
      </c>
      <c r="K160" s="544">
        <f t="shared" si="88"/>
        <v>0</v>
      </c>
      <c r="L160" s="892">
        <f t="shared" si="88"/>
        <v>0</v>
      </c>
      <c r="M160" s="543" t="e">
        <f t="shared" si="88"/>
        <v>#REF!</v>
      </c>
      <c r="N160" s="891" t="e">
        <f t="shared" si="88"/>
        <v>#REF!</v>
      </c>
      <c r="O160" s="544" t="e">
        <f t="shared" si="88"/>
        <v>#REF!</v>
      </c>
      <c r="P160" s="546" t="e">
        <f>IF(O160=0,0,Q160*1000/O160)</f>
        <v>#REF!</v>
      </c>
      <c r="Q160" s="891" t="e">
        <f t="shared" ref="Q160:W160" si="89">SUM(Q147:Q159)</f>
        <v>#REF!</v>
      </c>
      <c r="R160" s="544">
        <f t="shared" si="89"/>
        <v>0</v>
      </c>
      <c r="S160" s="891">
        <f t="shared" si="89"/>
        <v>0</v>
      </c>
      <c r="T160" s="544">
        <f t="shared" si="89"/>
        <v>0</v>
      </c>
      <c r="U160" s="891">
        <f t="shared" si="89"/>
        <v>0</v>
      </c>
      <c r="V160" s="544">
        <f t="shared" si="89"/>
        <v>0</v>
      </c>
      <c r="W160" s="892">
        <f t="shared" si="89"/>
        <v>0</v>
      </c>
      <c r="X160" s="543" t="e">
        <f>SUM(X147:X159)</f>
        <v>#REF!</v>
      </c>
      <c r="Y160" s="892" t="e">
        <f>SUM(Y147:Y159)</f>
        <v>#REF!</v>
      </c>
      <c r="Z160" s="546" t="e">
        <f t="shared" si="87"/>
        <v>#REF!</v>
      </c>
      <c r="AA160" s="543" t="e">
        <f>SUM(AA147:AA159)</f>
        <v>#REF!</v>
      </c>
      <c r="AB160" s="544">
        <f>IF(AD161=0,0,AC161/AD161*1000000)</f>
        <v>0</v>
      </c>
      <c r="AC160" s="891" t="e">
        <f>Y160+N160+Q160+S160+U160+W160-(D160+H160+J160+L160)</f>
        <v>#REF!</v>
      </c>
      <c r="AD160" s="548" t="e">
        <f>SUM(AD147:AD159)</f>
        <v>#REF!</v>
      </c>
      <c r="AE160" s="847"/>
      <c r="AG160" s="345" t="e">
        <f>SUM(AG147:AG159)</f>
        <v>#REF!</v>
      </c>
    </row>
    <row r="161" spans="1:34" ht="12" thickTop="1"/>
    <row r="162" spans="1:34">
      <c r="I162" s="300"/>
      <c r="L162" s="526" t="s">
        <v>283</v>
      </c>
      <c r="AC162" s="1981"/>
      <c r="AD162" s="1981"/>
      <c r="AE162" s="849"/>
    </row>
    <row r="163" spans="1:34" ht="12" thickBot="1">
      <c r="A163" s="301">
        <f>+A140+1</f>
        <v>2026</v>
      </c>
      <c r="D163" s="305"/>
      <c r="AD163" s="1293" t="s">
        <v>544</v>
      </c>
    </row>
    <row r="164" spans="1:34" ht="12" thickTop="1">
      <c r="A164" s="1985" t="s">
        <v>284</v>
      </c>
      <c r="B164" s="1988" t="s">
        <v>285</v>
      </c>
      <c r="C164" s="1989"/>
      <c r="D164" s="1989"/>
      <c r="E164" s="1990"/>
      <c r="F164" s="1990"/>
      <c r="G164" s="1991" t="s">
        <v>245</v>
      </c>
      <c r="H164" s="1992"/>
      <c r="I164" s="1992"/>
      <c r="J164" s="1992"/>
      <c r="K164" s="1992"/>
      <c r="L164" s="1993"/>
      <c r="M164" s="1991" t="s">
        <v>250</v>
      </c>
      <c r="N164" s="1998"/>
      <c r="O164" s="1998"/>
      <c r="P164" s="1998"/>
      <c r="Q164" s="1998"/>
      <c r="R164" s="1998"/>
      <c r="S164" s="1998"/>
      <c r="T164" s="1998"/>
      <c r="U164" s="1998"/>
      <c r="V164" s="1998"/>
      <c r="W164" s="1999"/>
      <c r="X164" s="1988" t="s">
        <v>286</v>
      </c>
      <c r="Y164" s="1989"/>
      <c r="Z164" s="2000"/>
      <c r="AA164" s="1973" t="s">
        <v>287</v>
      </c>
      <c r="AB164" s="1975" t="s">
        <v>288</v>
      </c>
      <c r="AC164" s="1977" t="s">
        <v>289</v>
      </c>
      <c r="AD164" s="1979" t="s">
        <v>290</v>
      </c>
      <c r="AE164" s="844"/>
      <c r="AF164" s="1983" t="s">
        <v>408</v>
      </c>
      <c r="AG164" s="1984" t="s">
        <v>291</v>
      </c>
    </row>
    <row r="165" spans="1:34">
      <c r="A165" s="1986"/>
      <c r="B165" s="2001" t="s">
        <v>292</v>
      </c>
      <c r="C165" s="2002"/>
      <c r="D165" s="1995" t="s">
        <v>242</v>
      </c>
      <c r="E165" s="1976" t="s">
        <v>293</v>
      </c>
      <c r="F165" s="2005" t="s">
        <v>294</v>
      </c>
      <c r="G165" s="2001" t="s">
        <v>295</v>
      </c>
      <c r="H165" s="2007"/>
      <c r="I165" s="2008" t="s">
        <v>296</v>
      </c>
      <c r="J165" s="2008"/>
      <c r="K165" s="2008" t="s">
        <v>297</v>
      </c>
      <c r="L165" s="2009"/>
      <c r="M165" s="1994" t="s">
        <v>298</v>
      </c>
      <c r="N165" s="2008"/>
      <c r="O165" s="2008" t="s">
        <v>299</v>
      </c>
      <c r="P165" s="2008"/>
      <c r="Q165" s="2008"/>
      <c r="R165" s="2008" t="s">
        <v>300</v>
      </c>
      <c r="S165" s="2008"/>
      <c r="T165" s="2010" t="s">
        <v>301</v>
      </c>
      <c r="U165" s="2010"/>
      <c r="V165" s="2008" t="s">
        <v>302</v>
      </c>
      <c r="W165" s="2009"/>
      <c r="X165" s="1994" t="s">
        <v>292</v>
      </c>
      <c r="Y165" s="1995" t="s">
        <v>242</v>
      </c>
      <c r="Z165" s="1996" t="s">
        <v>293</v>
      </c>
      <c r="AA165" s="1974"/>
      <c r="AB165" s="1976"/>
      <c r="AC165" s="1978"/>
      <c r="AD165" s="1980"/>
      <c r="AE165" s="844"/>
      <c r="AF165" s="1983"/>
      <c r="AG165" s="1984"/>
    </row>
    <row r="166" spans="1:34" ht="45">
      <c r="A166" s="1987"/>
      <c r="B166" s="580" t="s">
        <v>83</v>
      </c>
      <c r="C166" s="581" t="s">
        <v>303</v>
      </c>
      <c r="D166" s="2003"/>
      <c r="E166" s="2004"/>
      <c r="F166" s="2006"/>
      <c r="G166" s="580" t="s">
        <v>292</v>
      </c>
      <c r="H166" s="582" t="s">
        <v>242</v>
      </c>
      <c r="I166" s="579" t="s">
        <v>292</v>
      </c>
      <c r="J166" s="582" t="s">
        <v>242</v>
      </c>
      <c r="K166" s="579" t="s">
        <v>292</v>
      </c>
      <c r="L166" s="308" t="s">
        <v>242</v>
      </c>
      <c r="M166" s="580" t="s">
        <v>292</v>
      </c>
      <c r="N166" s="582" t="s">
        <v>242</v>
      </c>
      <c r="O166" s="579" t="s">
        <v>292</v>
      </c>
      <c r="P166" s="579" t="s">
        <v>304</v>
      </c>
      <c r="Q166" s="582" t="s">
        <v>242</v>
      </c>
      <c r="R166" s="579" t="s">
        <v>292</v>
      </c>
      <c r="S166" s="582" t="s">
        <v>242</v>
      </c>
      <c r="T166" s="579" t="s">
        <v>292</v>
      </c>
      <c r="U166" s="582" t="s">
        <v>242</v>
      </c>
      <c r="V166" s="579" t="s">
        <v>292</v>
      </c>
      <c r="W166" s="308" t="s">
        <v>242</v>
      </c>
      <c r="X166" s="1994"/>
      <c r="Y166" s="1995"/>
      <c r="Z166" s="1997"/>
      <c r="AA166" s="1974"/>
      <c r="AB166" s="1976"/>
      <c r="AC166" s="1978"/>
      <c r="AD166" s="1980"/>
      <c r="AE166" s="844"/>
      <c r="AF166" s="1983"/>
      <c r="AG166" s="1984"/>
    </row>
    <row r="167" spans="1:34" ht="12" thickBot="1">
      <c r="A167" s="527" t="s">
        <v>305</v>
      </c>
      <c r="B167" s="309">
        <v>1</v>
      </c>
      <c r="C167" s="310">
        <v>2</v>
      </c>
      <c r="D167" s="310">
        <v>3</v>
      </c>
      <c r="E167" s="311"/>
      <c r="F167" s="311">
        <v>4</v>
      </c>
      <c r="G167" s="309">
        <v>5</v>
      </c>
      <c r="H167" s="310">
        <v>6</v>
      </c>
      <c r="I167" s="310">
        <v>7</v>
      </c>
      <c r="J167" s="310">
        <v>8</v>
      </c>
      <c r="K167" s="310">
        <v>9</v>
      </c>
      <c r="L167" s="311">
        <v>10</v>
      </c>
      <c r="M167" s="309">
        <v>11</v>
      </c>
      <c r="N167" s="310">
        <v>12</v>
      </c>
      <c r="O167" s="310">
        <v>13</v>
      </c>
      <c r="P167" s="310">
        <v>14</v>
      </c>
      <c r="Q167" s="310">
        <v>15</v>
      </c>
      <c r="R167" s="310">
        <v>16</v>
      </c>
      <c r="S167" s="310">
        <v>17</v>
      </c>
      <c r="T167" s="310">
        <v>18</v>
      </c>
      <c r="U167" s="310">
        <v>19</v>
      </c>
      <c r="V167" s="310">
        <v>20</v>
      </c>
      <c r="W167" s="311">
        <v>21</v>
      </c>
      <c r="X167" s="309">
        <v>22</v>
      </c>
      <c r="Y167" s="310">
        <v>23</v>
      </c>
      <c r="Z167" s="312"/>
      <c r="AA167" s="309">
        <v>24</v>
      </c>
      <c r="AB167" s="310">
        <v>25</v>
      </c>
      <c r="AC167" s="310">
        <v>26</v>
      </c>
      <c r="AD167" s="528">
        <v>27</v>
      </c>
      <c r="AE167" s="845"/>
      <c r="AF167" s="1983"/>
      <c r="AG167" s="1984"/>
    </row>
    <row r="168" spans="1:34" ht="12" thickBot="1">
      <c r="A168" s="529"/>
      <c r="B168" s="313"/>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530"/>
      <c r="AE168" s="845"/>
      <c r="AF168" s="1983"/>
      <c r="AG168" s="1984"/>
    </row>
    <row r="169" spans="1:34" ht="12" thickBot="1">
      <c r="A169" s="531" t="s">
        <v>306</v>
      </c>
      <c r="B169" s="314"/>
      <c r="C169" s="314"/>
      <c r="D169" s="315"/>
      <c r="E169" s="314"/>
      <c r="F169" s="314"/>
      <c r="G169" s="314"/>
      <c r="H169" s="315"/>
      <c r="I169" s="314"/>
      <c r="J169" s="315"/>
      <c r="K169" s="314"/>
      <c r="L169" s="315"/>
      <c r="M169" s="314"/>
      <c r="N169" s="315"/>
      <c r="O169" s="314"/>
      <c r="P169" s="314"/>
      <c r="Q169" s="315"/>
      <c r="R169" s="314"/>
      <c r="S169" s="315"/>
      <c r="T169" s="314"/>
      <c r="U169" s="315"/>
      <c r="V169" s="314"/>
      <c r="W169" s="315"/>
      <c r="X169" s="314"/>
      <c r="Y169" s="315"/>
      <c r="Z169" s="314"/>
      <c r="AA169" s="314"/>
      <c r="AB169" s="314"/>
      <c r="AC169" s="316"/>
      <c r="AD169" s="532"/>
      <c r="AE169" s="846"/>
      <c r="AF169" s="1983"/>
      <c r="AG169" s="1984"/>
      <c r="AH169" s="300" t="e">
        <f>+AG170+AG171</f>
        <v>#REF!</v>
      </c>
    </row>
    <row r="170" spans="1:34">
      <c r="A170" s="533" t="s">
        <v>244</v>
      </c>
      <c r="B170" s="317" t="e">
        <f>+'КРМД-26'!B$7</f>
        <v>#REF!</v>
      </c>
      <c r="C170" s="318">
        <f>'КРМД-26'!$C$7</f>
        <v>0</v>
      </c>
      <c r="D170" s="348" t="e">
        <f t="shared" ref="D170:D182" si="90">Y147</f>
        <v>#REF!</v>
      </c>
      <c r="E170" s="320" t="e">
        <f t="shared" ref="E170:E183" si="91">IF(B170=0,0,D170*1000/B170)</f>
        <v>#REF!</v>
      </c>
      <c r="F170" s="321" t="e">
        <f>+'КРМД-26'!E$7</f>
        <v>#REF!</v>
      </c>
      <c r="G170" s="317">
        <f>'КРМД-26'!R$8</f>
        <v>0</v>
      </c>
      <c r="H170" s="887"/>
      <c r="I170" s="318">
        <f>'КРМД-26'!$R$9</f>
        <v>0</v>
      </c>
      <c r="J170" s="322"/>
      <c r="K170" s="318">
        <f>'КРМД-26'!R$10</f>
        <v>0</v>
      </c>
      <c r="L170" s="323"/>
      <c r="M170" s="317">
        <f>'КРМД-26'!R$12</f>
        <v>0</v>
      </c>
      <c r="N170" s="322"/>
      <c r="O170" s="318"/>
      <c r="P170" s="320">
        <f t="shared" ref="P170:P182" si="92">IF(O170=0,0,Q170*1000/O170)</f>
        <v>0</v>
      </c>
      <c r="Q170" s="322"/>
      <c r="R170" s="318">
        <f>'КРМД-26'!R$14</f>
        <v>0</v>
      </c>
      <c r="S170" s="322"/>
      <c r="T170" s="318">
        <f>'КРМД-26'!R$15</f>
        <v>0</v>
      </c>
      <c r="U170" s="322"/>
      <c r="V170" s="318">
        <f>'КРМД-26'!R$16</f>
        <v>0</v>
      </c>
      <c r="W170" s="323"/>
      <c r="X170" s="324" t="e">
        <f>'КРМД-26'!R$7</f>
        <v>#REF!</v>
      </c>
      <c r="Y170" s="894" t="e">
        <f>X170*0.46</f>
        <v>#REF!</v>
      </c>
      <c r="Z170" s="320" t="e">
        <f t="shared" ref="Z170:Z176" si="93">IF(X170=0,0,Y170*1000/X170)</f>
        <v>#REF!</v>
      </c>
      <c r="AA170" s="317" t="e">
        <f t="shared" ref="AA170:AA182" si="94">AD170/366</f>
        <v>#REF!</v>
      </c>
      <c r="AB170" s="318" t="e">
        <f>IF(AD170=0,0,AC170/AD170*1000000)</f>
        <v>#REF!</v>
      </c>
      <c r="AC170" s="899" t="e">
        <f t="shared" ref="AC170:AC181" si="95">Y170+N170+Q170+S170+U170+W170-(D170+H170+J170+L170)</f>
        <v>#REF!</v>
      </c>
      <c r="AD170" s="534" t="e">
        <f>'КРМД-26'!R$17</f>
        <v>#REF!</v>
      </c>
      <c r="AE170" s="847"/>
      <c r="AF170" s="851">
        <v>0.78</v>
      </c>
      <c r="AG170" s="852" t="e">
        <f>+B170*AF170</f>
        <v>#REF!</v>
      </c>
    </row>
    <row r="171" spans="1:34">
      <c r="A171" s="533" t="s">
        <v>260</v>
      </c>
      <c r="B171" s="317" t="e">
        <f>+'КРМД-26'!B$35</f>
        <v>#REF!</v>
      </c>
      <c r="C171" s="318" t="e">
        <f>'КРМД-26'!$C$35</f>
        <v>#REF!</v>
      </c>
      <c r="D171" s="348" t="e">
        <f t="shared" si="90"/>
        <v>#REF!</v>
      </c>
      <c r="E171" s="320" t="e">
        <f t="shared" si="91"/>
        <v>#REF!</v>
      </c>
      <c r="F171" s="321" t="e">
        <f>+'КРМД-26'!E$35</f>
        <v>#REF!</v>
      </c>
      <c r="G171" s="317" t="e">
        <f>'КРМД-26'!R$36</f>
        <v>#REF!</v>
      </c>
      <c r="H171" s="887" t="e">
        <f>N174</f>
        <v>#REF!</v>
      </c>
      <c r="I171" s="318">
        <f>'КРМД-26'!R$37</f>
        <v>0</v>
      </c>
      <c r="J171" s="322"/>
      <c r="K171" s="318">
        <f>'КРМД-26'!R$38</f>
        <v>0</v>
      </c>
      <c r="L171" s="323"/>
      <c r="M171" s="317">
        <f>'КРМД-26'!R$40</f>
        <v>0</v>
      </c>
      <c r="N171" s="893">
        <f>M171*0.35</f>
        <v>0</v>
      </c>
      <c r="O171" s="318"/>
      <c r="P171" s="320">
        <f t="shared" si="92"/>
        <v>0</v>
      </c>
      <c r="Q171" s="322"/>
      <c r="R171" s="318">
        <f>'КРМД-26'!R$42</f>
        <v>0</v>
      </c>
      <c r="S171" s="322"/>
      <c r="T171" s="318">
        <f>'КРМД-26'!R$43</f>
        <v>0</v>
      </c>
      <c r="U171" s="322"/>
      <c r="V171" s="318">
        <f>'КРМД-26'!R$44</f>
        <v>0</v>
      </c>
      <c r="W171" s="323"/>
      <c r="X171" s="317" t="e">
        <f>'КРМД-26'!R$35</f>
        <v>#REF!</v>
      </c>
      <c r="Y171" s="894" t="e">
        <f>X171*0.35</f>
        <v>#REF!</v>
      </c>
      <c r="Z171" s="320" t="e">
        <f t="shared" si="93"/>
        <v>#REF!</v>
      </c>
      <c r="AA171" s="317" t="e">
        <f t="shared" si="94"/>
        <v>#REF!</v>
      </c>
      <c r="AB171" s="318" t="e">
        <f>IF(AD171=0,0,AC171/AD171*1000000)</f>
        <v>#REF!</v>
      </c>
      <c r="AC171" s="899" t="e">
        <f t="shared" si="95"/>
        <v>#REF!</v>
      </c>
      <c r="AD171" s="535" t="e">
        <f>'КРМД-26'!R$45</f>
        <v>#REF!</v>
      </c>
      <c r="AE171" s="847"/>
      <c r="AF171" s="853">
        <v>1</v>
      </c>
      <c r="AG171" s="852" t="e">
        <f t="shared" ref="AG171:AG182" si="96">+B171*AF171</f>
        <v>#REF!</v>
      </c>
    </row>
    <row r="172" spans="1:34" ht="20.25" customHeight="1">
      <c r="A172" s="533" t="s">
        <v>258</v>
      </c>
      <c r="B172" s="317" t="e">
        <f>+'КРМД-26'!B$21</f>
        <v>#REF!</v>
      </c>
      <c r="C172" s="318">
        <f>'КРМД-26'!$C$21</f>
        <v>0</v>
      </c>
      <c r="D172" s="348" t="e">
        <f t="shared" si="90"/>
        <v>#REF!</v>
      </c>
      <c r="E172" s="320" t="e">
        <f t="shared" si="91"/>
        <v>#REF!</v>
      </c>
      <c r="F172" s="321" t="e">
        <f>+'КРМД-26'!E$21</f>
        <v>#REF!</v>
      </c>
      <c r="G172" s="317">
        <f>'КРМД-26'!$R$22</f>
        <v>0</v>
      </c>
      <c r="H172" s="887">
        <f>N176</f>
        <v>0</v>
      </c>
      <c r="I172" s="318">
        <f>'КРМД-26'!R$23</f>
        <v>0</v>
      </c>
      <c r="J172" s="322"/>
      <c r="K172" s="318">
        <f>'КРМД-26'!R$24</f>
        <v>0</v>
      </c>
      <c r="L172" s="323"/>
      <c r="M172" s="317">
        <f>'КРМД-26'!R$26</f>
        <v>0</v>
      </c>
      <c r="N172" s="887">
        <f>M172*0.64</f>
        <v>0</v>
      </c>
      <c r="O172" s="318"/>
      <c r="P172" s="320">
        <f t="shared" si="92"/>
        <v>0</v>
      </c>
      <c r="Q172" s="322"/>
      <c r="R172" s="318">
        <f>'КРМД-26'!R$28</f>
        <v>0</v>
      </c>
      <c r="S172" s="322"/>
      <c r="T172" s="318">
        <f>'КРМД-26'!R$29</f>
        <v>0</v>
      </c>
      <c r="U172" s="322"/>
      <c r="V172" s="318">
        <f>'КРМД-26'!R$30</f>
        <v>0</v>
      </c>
      <c r="W172" s="323"/>
      <c r="X172" s="317" t="e">
        <f>'КРМД-26'!R$21</f>
        <v>#REF!</v>
      </c>
      <c r="Y172" s="894" t="e">
        <f>X172*0.4</f>
        <v>#REF!</v>
      </c>
      <c r="Z172" s="320" t="e">
        <f t="shared" si="93"/>
        <v>#REF!</v>
      </c>
      <c r="AA172" s="317" t="e">
        <f t="shared" si="94"/>
        <v>#REF!</v>
      </c>
      <c r="AB172" s="318" t="e">
        <f>IF(AD172=0,0,AC172/AD172*1000000)</f>
        <v>#REF!</v>
      </c>
      <c r="AC172" s="899" t="e">
        <f t="shared" si="95"/>
        <v>#REF!</v>
      </c>
      <c r="AD172" s="535" t="e">
        <f>'КРМД-26'!R$31</f>
        <v>#REF!</v>
      </c>
      <c r="AE172" s="847"/>
      <c r="AF172" s="851">
        <v>1</v>
      </c>
      <c r="AG172" s="852" t="e">
        <f t="shared" si="96"/>
        <v>#REF!</v>
      </c>
    </row>
    <row r="173" spans="1:34" ht="12" thickBot="1">
      <c r="A173" s="536" t="s">
        <v>261</v>
      </c>
      <c r="B173" s="328" t="e">
        <f>+'КРМД-26'!B$49</f>
        <v>#REF!</v>
      </c>
      <c r="C173" s="329" t="e">
        <f>'КРМД-26'!$C$49</f>
        <v>#REF!</v>
      </c>
      <c r="D173" s="349" t="e">
        <f t="shared" si="90"/>
        <v>#REF!</v>
      </c>
      <c r="E173" s="331" t="e">
        <f t="shared" si="91"/>
        <v>#REF!</v>
      </c>
      <c r="F173" s="321">
        <f>+'КРМД-26'!E$49</f>
        <v>0</v>
      </c>
      <c r="G173" s="328">
        <f>'КРМД-26'!R$50</f>
        <v>0</v>
      </c>
      <c r="H173" s="888">
        <f>N170+N171+N172</f>
        <v>0</v>
      </c>
      <c r="I173" s="329">
        <f>'КРМД-26'!R$51</f>
        <v>0</v>
      </c>
      <c r="J173" s="332"/>
      <c r="K173" s="329">
        <f>'КРМД-26'!R$52</f>
        <v>0</v>
      </c>
      <c r="L173" s="333"/>
      <c r="M173" s="328">
        <f>'КРМД-26'!R$54</f>
        <v>0</v>
      </c>
      <c r="N173" s="888"/>
      <c r="O173" s="329">
        <f>'КРМД-26'!R$55</f>
        <v>0</v>
      </c>
      <c r="P173" s="331">
        <f t="shared" si="92"/>
        <v>0</v>
      </c>
      <c r="Q173" s="888">
        <f>O173*0.37</f>
        <v>0</v>
      </c>
      <c r="R173" s="329">
        <f>'КРМД-26'!R$56</f>
        <v>0</v>
      </c>
      <c r="S173" s="332"/>
      <c r="T173" s="329">
        <f>'КРМД-26'!R$57</f>
        <v>0</v>
      </c>
      <c r="U173" s="332"/>
      <c r="V173" s="329">
        <f>'КРМД-26'!R$58</f>
        <v>0</v>
      </c>
      <c r="W173" s="333"/>
      <c r="X173" s="328" t="e">
        <f>'КРМД-26'!R$49</f>
        <v>#REF!</v>
      </c>
      <c r="Y173" s="897" t="e">
        <f>X173*0.45</f>
        <v>#REF!</v>
      </c>
      <c r="Z173" s="331" t="e">
        <f t="shared" si="93"/>
        <v>#REF!</v>
      </c>
      <c r="AA173" s="328" t="e">
        <f t="shared" si="94"/>
        <v>#REF!</v>
      </c>
      <c r="AB173" s="329" t="e">
        <f>IF(AD173=0,0,AC173/AD173*1000000)</f>
        <v>#REF!</v>
      </c>
      <c r="AC173" s="900" t="e">
        <f t="shared" si="95"/>
        <v>#REF!</v>
      </c>
      <c r="AD173" s="537" t="e">
        <f>'КРМД-26'!R$59</f>
        <v>#REF!</v>
      </c>
      <c r="AE173" s="847"/>
      <c r="AF173" s="851">
        <v>0.5</v>
      </c>
      <c r="AG173" s="852" t="e">
        <f t="shared" si="96"/>
        <v>#REF!</v>
      </c>
      <c r="AH173" s="856" t="e">
        <f>SUM(AG173:AG182)</f>
        <v>#REF!</v>
      </c>
    </row>
    <row r="174" spans="1:34">
      <c r="A174" s="538" t="s">
        <v>263</v>
      </c>
      <c r="B174" s="324" t="e">
        <f>+'КРМД-26'!B$63</f>
        <v>#REF!</v>
      </c>
      <c r="C174" s="326" t="e">
        <f>'КРМД-26'!$C$63</f>
        <v>#REF!</v>
      </c>
      <c r="D174" s="350" t="e">
        <f t="shared" si="90"/>
        <v>#REF!</v>
      </c>
      <c r="E174" s="325" t="e">
        <f t="shared" si="91"/>
        <v>#REF!</v>
      </c>
      <c r="F174" s="321" t="e">
        <f>+'КРМД-26'!E$63</f>
        <v>#REF!</v>
      </c>
      <c r="G174" s="324" t="e">
        <f>'КРМД-26'!R$64</f>
        <v>#REF!</v>
      </c>
      <c r="H174" s="889" t="e">
        <f>N175</f>
        <v>#REF!</v>
      </c>
      <c r="I174" s="326">
        <f>'КРМД-26'!R$65</f>
        <v>0</v>
      </c>
      <c r="J174" s="335"/>
      <c r="K174" s="326">
        <f>'КРМД-26'!R$66</f>
        <v>0</v>
      </c>
      <c r="L174" s="336"/>
      <c r="M174" s="324" t="e">
        <f>'КРМД-26'!R$68</f>
        <v>#REF!</v>
      </c>
      <c r="N174" s="889" t="e">
        <f>M174*0.35</f>
        <v>#REF!</v>
      </c>
      <c r="O174" s="326">
        <f>'КРМД-26'!R$69</f>
        <v>0</v>
      </c>
      <c r="P174" s="325">
        <f t="shared" si="92"/>
        <v>0</v>
      </c>
      <c r="Q174" s="889">
        <f>O174*0.35</f>
        <v>0</v>
      </c>
      <c r="R174" s="326">
        <f>'КРМД-26'!R$70</f>
        <v>0</v>
      </c>
      <c r="S174" s="337"/>
      <c r="T174" s="326">
        <f>'КРМД-26'!R$71</f>
        <v>0</v>
      </c>
      <c r="U174" s="337"/>
      <c r="V174" s="326">
        <f>'КРМД-26'!R$72</f>
        <v>0</v>
      </c>
      <c r="W174" s="338"/>
      <c r="X174" s="324" t="e">
        <f>'КРМД-26'!R$63</f>
        <v>#REF!</v>
      </c>
      <c r="Y174" s="896" t="e">
        <f>X174*0.35</f>
        <v>#REF!</v>
      </c>
      <c r="Z174" s="325" t="e">
        <f t="shared" si="93"/>
        <v>#REF!</v>
      </c>
      <c r="AA174" s="324" t="e">
        <f t="shared" si="94"/>
        <v>#REF!</v>
      </c>
      <c r="AB174" s="326" t="e">
        <f>IF(AD174=0,0,AC174/AD174*1000000)</f>
        <v>#REF!</v>
      </c>
      <c r="AC174" s="898" t="e">
        <f t="shared" si="95"/>
        <v>#REF!</v>
      </c>
      <c r="AD174" s="534" t="e">
        <f>'КРМД-26'!R$73</f>
        <v>#REF!</v>
      </c>
      <c r="AE174" s="847"/>
      <c r="AF174" s="851">
        <v>0.61</v>
      </c>
      <c r="AG174" s="852" t="e">
        <f t="shared" si="96"/>
        <v>#REF!</v>
      </c>
    </row>
    <row r="175" spans="1:34">
      <c r="A175" s="533" t="s">
        <v>264</v>
      </c>
      <c r="B175" s="317" t="e">
        <f>+'КРМД-26'!B$77</f>
        <v>#REF!</v>
      </c>
      <c r="C175" s="318" t="e">
        <f>'КРМД-26'!$C$77</f>
        <v>#REF!</v>
      </c>
      <c r="D175" s="348" t="e">
        <f t="shared" si="90"/>
        <v>#REF!</v>
      </c>
      <c r="E175" s="320" t="e">
        <f t="shared" si="91"/>
        <v>#REF!</v>
      </c>
      <c r="F175" s="321" t="e">
        <f>+'КРМД-26'!E$77</f>
        <v>#REF!</v>
      </c>
      <c r="G175" s="317" t="e">
        <f>'КРМД-26'!R$78</f>
        <v>#REF!</v>
      </c>
      <c r="H175" s="887" t="e">
        <f t="shared" ref="H175:H180" si="97">N177</f>
        <v>#REF!</v>
      </c>
      <c r="I175" s="318">
        <f>'КРМД-26'!R$79</f>
        <v>0</v>
      </c>
      <c r="J175" s="322"/>
      <c r="K175" s="318">
        <f>'КРМД-26'!R$80</f>
        <v>0</v>
      </c>
      <c r="L175" s="323"/>
      <c r="M175" s="317" t="e">
        <f>'КРМД-26'!R$82</f>
        <v>#REF!</v>
      </c>
      <c r="N175" s="887" t="e">
        <f>M175*0.298</f>
        <v>#REF!</v>
      </c>
      <c r="O175" s="318">
        <f>'КРМД-26'!R$83</f>
        <v>0</v>
      </c>
      <c r="P175" s="320">
        <f t="shared" si="92"/>
        <v>0</v>
      </c>
      <c r="Q175" s="887"/>
      <c r="R175" s="318">
        <f>'КРМД-26'!R$84</f>
        <v>0</v>
      </c>
      <c r="S175" s="322"/>
      <c r="T175" s="318">
        <f>'КРМД-26'!R$85</f>
        <v>0</v>
      </c>
      <c r="U175" s="322"/>
      <c r="V175" s="318">
        <f>'КРМД-26'!R$86</f>
        <v>0</v>
      </c>
      <c r="W175" s="323"/>
      <c r="X175" s="317" t="e">
        <f>'КРМД-26'!R$77</f>
        <v>#REF!</v>
      </c>
      <c r="Y175" s="894" t="e">
        <f>X175*0.28</f>
        <v>#REF!</v>
      </c>
      <c r="Z175" s="320" t="e">
        <f t="shared" si="93"/>
        <v>#REF!</v>
      </c>
      <c r="AA175" s="317" t="e">
        <f t="shared" si="94"/>
        <v>#REF!</v>
      </c>
      <c r="AB175" s="318" t="e">
        <f>IF(AD175=0,0,AC175/AD175*100000)</f>
        <v>#REF!</v>
      </c>
      <c r="AC175" s="899" t="e">
        <f t="shared" si="95"/>
        <v>#REF!</v>
      </c>
      <c r="AD175" s="535" t="e">
        <f>'КРМД-26'!R$87</f>
        <v>#REF!</v>
      </c>
      <c r="AE175" s="847"/>
      <c r="AF175" s="851">
        <v>0.57999999999999996</v>
      </c>
      <c r="AG175" s="852" t="e">
        <f t="shared" si="96"/>
        <v>#REF!</v>
      </c>
    </row>
    <row r="176" spans="1:34">
      <c r="A176" s="533" t="s">
        <v>267</v>
      </c>
      <c r="B176" s="317" t="e">
        <f>+'КРМД-26'!B$119</f>
        <v>#REF!</v>
      </c>
      <c r="C176" s="318" t="e">
        <f>'КРМД-26'!$C$119</f>
        <v>#REF!</v>
      </c>
      <c r="D176" s="348" t="e">
        <f t="shared" si="90"/>
        <v>#REF!</v>
      </c>
      <c r="E176" s="320" t="e">
        <f t="shared" si="91"/>
        <v>#REF!</v>
      </c>
      <c r="F176" s="321">
        <f>+'КРМД-26'!E$119</f>
        <v>0</v>
      </c>
      <c r="G176" s="317">
        <f>'КРМД-26'!R$120</f>
        <v>0</v>
      </c>
      <c r="H176" s="887">
        <f t="shared" si="97"/>
        <v>0</v>
      </c>
      <c r="I176" s="318">
        <f>'КРМД-26'!R$121</f>
        <v>0</v>
      </c>
      <c r="J176" s="322"/>
      <c r="K176" s="318">
        <f>'КРМД-26'!R$122</f>
        <v>0</v>
      </c>
      <c r="L176" s="323"/>
      <c r="M176" s="317">
        <f>'КРМД-26'!R$124</f>
        <v>0</v>
      </c>
      <c r="N176" s="887"/>
      <c r="O176" s="318" t="e">
        <f>'КРМД-26'!R$125</f>
        <v>#REF!</v>
      </c>
      <c r="P176" s="320" t="e">
        <f t="shared" si="92"/>
        <v>#REF!</v>
      </c>
      <c r="Q176" s="887"/>
      <c r="R176" s="318">
        <f>'КРМД-26'!R$126</f>
        <v>0</v>
      </c>
      <c r="S176" s="322"/>
      <c r="T176" s="318">
        <f>'КРМД-26'!R$127</f>
        <v>0</v>
      </c>
      <c r="U176" s="322"/>
      <c r="V176" s="318">
        <f>'КРМД-26'!R$128</f>
        <v>0</v>
      </c>
      <c r="W176" s="323"/>
      <c r="X176" s="317" t="e">
        <f>'КРМД-26'!R$119</f>
        <v>#REF!</v>
      </c>
      <c r="Y176" s="894" t="e">
        <f>X176*0.3</f>
        <v>#REF!</v>
      </c>
      <c r="Z176" s="320" t="e">
        <f t="shared" si="93"/>
        <v>#REF!</v>
      </c>
      <c r="AA176" s="317" t="e">
        <f t="shared" si="94"/>
        <v>#REF!</v>
      </c>
      <c r="AB176" s="318" t="e">
        <f t="shared" ref="AB176:AB182" si="98">IF(AD176=0,0,AC176/AD176*1000000)</f>
        <v>#REF!</v>
      </c>
      <c r="AC176" s="899" t="e">
        <f t="shared" si="95"/>
        <v>#REF!</v>
      </c>
      <c r="AD176" s="535" t="e">
        <f>'КРМД-26'!R$129</f>
        <v>#REF!</v>
      </c>
      <c r="AE176" s="847"/>
      <c r="AF176" s="851">
        <v>0.57999999999999996</v>
      </c>
      <c r="AG176" s="852" t="e">
        <f t="shared" si="96"/>
        <v>#REF!</v>
      </c>
    </row>
    <row r="177" spans="1:39">
      <c r="A177" s="533" t="s">
        <v>265</v>
      </c>
      <c r="B177" s="317" t="e">
        <f>+'КРМД-26'!B$91</f>
        <v>#REF!</v>
      </c>
      <c r="C177" s="318" t="e">
        <f>'КРМД-26'!$C$91</f>
        <v>#REF!</v>
      </c>
      <c r="D177" s="348" t="e">
        <f t="shared" si="90"/>
        <v>#REF!</v>
      </c>
      <c r="E177" s="320" t="e">
        <f t="shared" si="91"/>
        <v>#REF!</v>
      </c>
      <c r="F177" s="321" t="e">
        <f>+'КРМД-26'!E$91</f>
        <v>#REF!</v>
      </c>
      <c r="G177" s="317" t="e">
        <f>'КРМД-26'!R$92</f>
        <v>#REF!</v>
      </c>
      <c r="H177" s="887" t="e">
        <f t="shared" si="97"/>
        <v>#REF!</v>
      </c>
      <c r="I177" s="318">
        <f>'КРМД-26'!R$93</f>
        <v>0</v>
      </c>
      <c r="J177" s="322"/>
      <c r="K177" s="318">
        <f>'КРМД-26'!R$94</f>
        <v>0</v>
      </c>
      <c r="L177" s="323"/>
      <c r="M177" s="317" t="e">
        <f>'КРМД-26'!R$96</f>
        <v>#REF!</v>
      </c>
      <c r="N177" s="887" t="e">
        <f>M177*0.28</f>
        <v>#REF!</v>
      </c>
      <c r="O177" s="318">
        <f>'КРМД-26'!R$97</f>
        <v>0</v>
      </c>
      <c r="P177" s="320">
        <f t="shared" si="92"/>
        <v>0</v>
      </c>
      <c r="Q177" s="887">
        <f>O177*0.298</f>
        <v>0</v>
      </c>
      <c r="R177" s="318">
        <f>'КРМД-26'!R$98</f>
        <v>0</v>
      </c>
      <c r="S177" s="887">
        <f>+R177*0.3</f>
        <v>0</v>
      </c>
      <c r="T177" s="318">
        <f>'КРМД-26'!R$99</f>
        <v>0</v>
      </c>
      <c r="U177" s="322"/>
      <c r="V177" s="318">
        <f>'КРМД-26'!R$100</f>
        <v>0</v>
      </c>
      <c r="W177" s="323"/>
      <c r="X177" s="317" t="e">
        <f>'КРМД-26'!R$91</f>
        <v>#REF!</v>
      </c>
      <c r="Y177" s="894" t="e">
        <f>X177*0.265</f>
        <v>#REF!</v>
      </c>
      <c r="Z177" s="320" t="e">
        <f>IF(X177=0,0,Y177*1000/X177)</f>
        <v>#REF!</v>
      </c>
      <c r="AA177" s="317" t="e">
        <f t="shared" si="94"/>
        <v>#REF!</v>
      </c>
      <c r="AB177" s="318" t="e">
        <f t="shared" si="98"/>
        <v>#REF!</v>
      </c>
      <c r="AC177" s="899" t="e">
        <f t="shared" si="95"/>
        <v>#REF!</v>
      </c>
      <c r="AD177" s="535" t="e">
        <f>'КРМД-26'!R$101</f>
        <v>#REF!</v>
      </c>
      <c r="AE177" s="847"/>
      <c r="AF177" s="851">
        <v>0.54</v>
      </c>
      <c r="AG177" s="852" t="e">
        <f t="shared" si="96"/>
        <v>#REF!</v>
      </c>
    </row>
    <row r="178" spans="1:39">
      <c r="A178" s="533" t="s">
        <v>268</v>
      </c>
      <c r="B178" s="317" t="e">
        <f>+'КРМД-26'!B$133</f>
        <v>#REF!</v>
      </c>
      <c r="C178" s="318" t="e">
        <f>'КРМД-26'!$C$133</f>
        <v>#REF!</v>
      </c>
      <c r="D178" s="348" t="e">
        <f t="shared" si="90"/>
        <v>#REF!</v>
      </c>
      <c r="E178" s="320" t="e">
        <f t="shared" si="91"/>
        <v>#REF!</v>
      </c>
      <c r="F178" s="321" t="e">
        <f>+'КРМД-26'!E$133</f>
        <v>#REF!</v>
      </c>
      <c r="G178" s="317" t="e">
        <f>'КРМД-26'!R$134</f>
        <v>#REF!</v>
      </c>
      <c r="H178" s="887" t="e">
        <f t="shared" si="97"/>
        <v>#REF!</v>
      </c>
      <c r="I178" s="318">
        <f>'КРМД-26'!R$135</f>
        <v>0</v>
      </c>
      <c r="J178" s="322"/>
      <c r="K178" s="318">
        <f>'КРМД-26'!R$136</f>
        <v>0</v>
      </c>
      <c r="L178" s="323"/>
      <c r="M178" s="317">
        <f>'КРМД-26'!R$138</f>
        <v>0</v>
      </c>
      <c r="N178" s="887">
        <f>M178*0.25</f>
        <v>0</v>
      </c>
      <c r="O178" s="318" t="e">
        <f>'КРМД-26'!R$139</f>
        <v>#REF!</v>
      </c>
      <c r="P178" s="320" t="e">
        <f t="shared" si="92"/>
        <v>#REF!</v>
      </c>
      <c r="Q178" s="887" t="e">
        <f>O178*0.257</f>
        <v>#REF!</v>
      </c>
      <c r="R178" s="318">
        <f>'КРМД-26'!R$140</f>
        <v>0</v>
      </c>
      <c r="S178" s="887"/>
      <c r="T178" s="318">
        <f>'КРМД-26'!R$141</f>
        <v>0</v>
      </c>
      <c r="U178" s="322"/>
      <c r="V178" s="318">
        <f>'КРМД-26'!R$142</f>
        <v>0</v>
      </c>
      <c r="W178" s="323"/>
      <c r="X178" s="317" t="e">
        <f>'КРМД-26'!R$133</f>
        <v>#REF!</v>
      </c>
      <c r="Y178" s="894" t="e">
        <f>X178*0.257</f>
        <v>#REF!</v>
      </c>
      <c r="Z178" s="320" t="e">
        <f t="shared" ref="Z178:Z183" si="99">IF(X178=0,0,Y178*1000/X178)</f>
        <v>#REF!</v>
      </c>
      <c r="AA178" s="317" t="e">
        <f t="shared" si="94"/>
        <v>#REF!</v>
      </c>
      <c r="AB178" s="318" t="e">
        <f t="shared" si="98"/>
        <v>#REF!</v>
      </c>
      <c r="AC178" s="899" t="e">
        <f t="shared" si="95"/>
        <v>#REF!</v>
      </c>
      <c r="AD178" s="535" t="e">
        <f>'КРМД-26'!R$143</f>
        <v>#REF!</v>
      </c>
      <c r="AE178" s="847"/>
      <c r="AF178" s="851">
        <v>0.54</v>
      </c>
      <c r="AG178" s="852" t="e">
        <f t="shared" si="96"/>
        <v>#REF!</v>
      </c>
    </row>
    <row r="179" spans="1:39">
      <c r="A179" s="533" t="s">
        <v>266</v>
      </c>
      <c r="B179" s="317" t="e">
        <f>+'КРМД-26'!B$105</f>
        <v>#REF!</v>
      </c>
      <c r="C179" s="318" t="e">
        <f>'КРМД-26'!$C$105</f>
        <v>#REF!</v>
      </c>
      <c r="D179" s="348" t="e">
        <f t="shared" si="90"/>
        <v>#REF!</v>
      </c>
      <c r="E179" s="320" t="e">
        <f t="shared" si="91"/>
        <v>#REF!</v>
      </c>
      <c r="F179" s="321" t="e">
        <f>+'КРМД-26'!E$105</f>
        <v>#REF!</v>
      </c>
      <c r="G179" s="317" t="e">
        <f>'КРМД-26'!R$106</f>
        <v>#REF!</v>
      </c>
      <c r="H179" s="887" t="e">
        <f t="shared" si="97"/>
        <v>#REF!</v>
      </c>
      <c r="I179" s="318">
        <f>'КРМД-26'!R$107</f>
        <v>0</v>
      </c>
      <c r="J179" s="322"/>
      <c r="K179" s="318">
        <f>'КРМД-26'!R$108</f>
        <v>0</v>
      </c>
      <c r="L179" s="323"/>
      <c r="M179" s="317" t="e">
        <f>'КРМД-26'!R$110</f>
        <v>#REF!</v>
      </c>
      <c r="N179" s="887" t="e">
        <f>M179*0.22</f>
        <v>#REF!</v>
      </c>
      <c r="O179" s="318">
        <f>'КРМД-26'!R$111</f>
        <v>0</v>
      </c>
      <c r="P179" s="320">
        <f t="shared" si="92"/>
        <v>0</v>
      </c>
      <c r="Q179" s="887">
        <f>O179*0.23</f>
        <v>0</v>
      </c>
      <c r="R179" s="318">
        <f>'КРМД-26'!R$112</f>
        <v>0</v>
      </c>
      <c r="S179" s="887">
        <f>R179*0.265</f>
        <v>0</v>
      </c>
      <c r="T179" s="318">
        <f>'КРМД-26'!R$113</f>
        <v>0</v>
      </c>
      <c r="U179" s="887">
        <f>T179*0.155</f>
        <v>0</v>
      </c>
      <c r="V179" s="318">
        <f>'КРМД-26'!R$114</f>
        <v>0</v>
      </c>
      <c r="W179" s="323"/>
      <c r="X179" s="317" t="e">
        <f>'КРМД-26'!R$105</f>
        <v>#REF!</v>
      </c>
      <c r="Y179" s="894" t="e">
        <f>X179*0.13</f>
        <v>#REF!</v>
      </c>
      <c r="Z179" s="320" t="e">
        <f t="shared" si="99"/>
        <v>#REF!</v>
      </c>
      <c r="AA179" s="317" t="e">
        <f t="shared" si="94"/>
        <v>#REF!</v>
      </c>
      <c r="AB179" s="318" t="e">
        <f t="shared" si="98"/>
        <v>#REF!</v>
      </c>
      <c r="AC179" s="899" t="e">
        <f t="shared" si="95"/>
        <v>#REF!</v>
      </c>
      <c r="AD179" s="535" t="e">
        <f>'КРМД-26'!R$115</f>
        <v>#REF!</v>
      </c>
      <c r="AE179" s="847"/>
      <c r="AF179" s="851">
        <v>0.35</v>
      </c>
      <c r="AG179" s="852" t="e">
        <f t="shared" si="96"/>
        <v>#REF!</v>
      </c>
    </row>
    <row r="180" spans="1:39">
      <c r="A180" s="533" t="s">
        <v>269</v>
      </c>
      <c r="B180" s="317" t="e">
        <f>+'КРМД-26'!B$147</f>
        <v>#REF!</v>
      </c>
      <c r="C180" s="318" t="e">
        <f>'КРМД-26'!$C$147</f>
        <v>#REF!</v>
      </c>
      <c r="D180" s="348" t="e">
        <f t="shared" si="90"/>
        <v>#REF!</v>
      </c>
      <c r="E180" s="320" t="e">
        <f t="shared" si="91"/>
        <v>#REF!</v>
      </c>
      <c r="F180" s="321" t="e">
        <f>+'КРМД-26'!E$147</f>
        <v>#REF!</v>
      </c>
      <c r="G180" s="317" t="e">
        <f>'КРМД-26'!R$148</f>
        <v>#REF!</v>
      </c>
      <c r="H180" s="887" t="e">
        <f t="shared" si="97"/>
        <v>#REF!</v>
      </c>
      <c r="I180" s="318">
        <f>'КРМД-26'!R$149</f>
        <v>0</v>
      </c>
      <c r="J180" s="322"/>
      <c r="K180" s="318">
        <f>'КРМД-26'!R$150</f>
        <v>0</v>
      </c>
      <c r="L180" s="323"/>
      <c r="M180" s="317" t="e">
        <f>'КРМД-26'!R$152</f>
        <v>#REF!</v>
      </c>
      <c r="N180" s="887" t="e">
        <f>M180*0.24</f>
        <v>#REF!</v>
      </c>
      <c r="O180" s="318">
        <f>'КРМД-26'!R$153</f>
        <v>0</v>
      </c>
      <c r="P180" s="320">
        <f t="shared" si="92"/>
        <v>0</v>
      </c>
      <c r="Q180" s="887">
        <f>O180*0.25</f>
        <v>0</v>
      </c>
      <c r="R180" s="318">
        <f>'КРМД-26'!R$154</f>
        <v>0</v>
      </c>
      <c r="S180" s="887"/>
      <c r="T180" s="318">
        <f>'КРМД-26'!R$155</f>
        <v>0</v>
      </c>
      <c r="U180" s="887"/>
      <c r="V180" s="318">
        <f>'КРМД-26'!R$156</f>
        <v>0</v>
      </c>
      <c r="W180" s="323"/>
      <c r="X180" s="317" t="e">
        <f>'КРМД-26'!R$147</f>
        <v>#REF!</v>
      </c>
      <c r="Y180" s="894" t="e">
        <f>X180*0.15</f>
        <v>#REF!</v>
      </c>
      <c r="Z180" s="320" t="e">
        <f t="shared" si="99"/>
        <v>#REF!</v>
      </c>
      <c r="AA180" s="317" t="e">
        <f t="shared" si="94"/>
        <v>#REF!</v>
      </c>
      <c r="AB180" s="318" t="e">
        <f t="shared" si="98"/>
        <v>#REF!</v>
      </c>
      <c r="AC180" s="899" t="e">
        <f t="shared" si="95"/>
        <v>#REF!</v>
      </c>
      <c r="AD180" s="535" t="e">
        <f>'КРМД-26'!R$157</f>
        <v>#REF!</v>
      </c>
      <c r="AE180" s="847"/>
      <c r="AF180" s="851">
        <v>0.35</v>
      </c>
      <c r="AG180" s="852" t="e">
        <f t="shared" si="96"/>
        <v>#REF!</v>
      </c>
    </row>
    <row r="181" spans="1:39" ht="22.5">
      <c r="A181" s="539" t="s">
        <v>270</v>
      </c>
      <c r="B181" s="317"/>
      <c r="C181" s="318">
        <f>'КРМД-26'!$C$161</f>
        <v>0</v>
      </c>
      <c r="D181" s="348" t="e">
        <f t="shared" si="90"/>
        <v>#REF!</v>
      </c>
      <c r="E181" s="320">
        <f t="shared" si="91"/>
        <v>0</v>
      </c>
      <c r="F181" s="321">
        <f>+'КРМД-26'!E$18</f>
        <v>0</v>
      </c>
      <c r="G181" s="317" t="e">
        <f>'КРМД-26'!R$162</f>
        <v>#REF!</v>
      </c>
      <c r="H181" s="887" t="e">
        <f>G181*0.022</f>
        <v>#REF!</v>
      </c>
      <c r="I181" s="318">
        <f>'КРМД-26'!R$163</f>
        <v>0</v>
      </c>
      <c r="J181" s="322"/>
      <c r="K181" s="318">
        <f>'КРМД-26'!R$164</f>
        <v>0</v>
      </c>
      <c r="L181" s="323"/>
      <c r="M181" s="317" t="e">
        <f>'КРМД-26'!R$166</f>
        <v>#REF!</v>
      </c>
      <c r="N181" s="887" t="e">
        <f>M181*0.13</f>
        <v>#REF!</v>
      </c>
      <c r="O181" s="318">
        <f>'КРМД-26'!R$167</f>
        <v>0</v>
      </c>
      <c r="P181" s="320">
        <f t="shared" si="92"/>
        <v>0</v>
      </c>
      <c r="Q181" s="887"/>
      <c r="R181" s="318">
        <f>'КРМД-26'!R$168</f>
        <v>0</v>
      </c>
      <c r="S181" s="887">
        <f>R181*0.08</f>
        <v>0</v>
      </c>
      <c r="T181" s="318">
        <f>'КРМД-26'!R$169</f>
        <v>0</v>
      </c>
      <c r="U181" s="887">
        <f>T181*0.15</f>
        <v>0</v>
      </c>
      <c r="V181" s="318">
        <f>'КРМД-26'!R$170</f>
        <v>0</v>
      </c>
      <c r="W181" s="894">
        <f>V181*0.03</f>
        <v>0</v>
      </c>
      <c r="X181" s="317" t="e">
        <f>'КРМД-26'!R$161</f>
        <v>#REF!</v>
      </c>
      <c r="Y181" s="894" t="e">
        <f>X181*0.1</f>
        <v>#REF!</v>
      </c>
      <c r="Z181" s="320" t="e">
        <f t="shared" si="99"/>
        <v>#REF!</v>
      </c>
      <c r="AA181" s="317" t="e">
        <f t="shared" si="94"/>
        <v>#REF!</v>
      </c>
      <c r="AB181" s="318" t="e">
        <f t="shared" si="98"/>
        <v>#REF!</v>
      </c>
      <c r="AC181" s="899" t="e">
        <f t="shared" si="95"/>
        <v>#REF!</v>
      </c>
      <c r="AD181" s="535" t="e">
        <f>'КРМД-26'!R$171</f>
        <v>#REF!</v>
      </c>
      <c r="AE181" s="847"/>
      <c r="AF181" s="851">
        <v>0.125</v>
      </c>
      <c r="AG181" s="852">
        <f t="shared" si="96"/>
        <v>0</v>
      </c>
      <c r="AI181" s="1982" t="s">
        <v>77</v>
      </c>
      <c r="AJ181" s="1982"/>
      <c r="AK181" s="1982"/>
      <c r="AL181" s="1982"/>
      <c r="AM181" s="1982"/>
    </row>
    <row r="182" spans="1:39" ht="23.25" thickBot="1">
      <c r="A182" s="540" t="s">
        <v>272</v>
      </c>
      <c r="B182" s="339"/>
      <c r="C182" s="340">
        <f>'КРМД-26'!$C$175</f>
        <v>0</v>
      </c>
      <c r="D182" s="351" t="e">
        <f t="shared" si="90"/>
        <v>#REF!</v>
      </c>
      <c r="E182" s="342">
        <f t="shared" si="91"/>
        <v>0</v>
      </c>
      <c r="F182" s="321">
        <f>+'КРМД-26'!E$19</f>
        <v>0</v>
      </c>
      <c r="G182" s="339" t="e">
        <f>'КРМД-26'!R$176</f>
        <v>#REF!</v>
      </c>
      <c r="H182" s="890" t="e">
        <f>G182*0.022</f>
        <v>#REF!</v>
      </c>
      <c r="I182" s="340">
        <f>'КРМД-26'!R$177</f>
        <v>0</v>
      </c>
      <c r="J182" s="343"/>
      <c r="K182" s="340">
        <f>'КРМД-26'!R$178</f>
        <v>0</v>
      </c>
      <c r="L182" s="344"/>
      <c r="M182" s="339" t="e">
        <f>'КРМД-26'!R$180</f>
        <v>#REF!</v>
      </c>
      <c r="N182" s="890" t="e">
        <f>M182*0.15</f>
        <v>#REF!</v>
      </c>
      <c r="O182" s="340">
        <f>'КРМД-26'!R$181</f>
        <v>0</v>
      </c>
      <c r="P182" s="342">
        <f t="shared" si="92"/>
        <v>0</v>
      </c>
      <c r="Q182" s="890">
        <f>O182*0.12</f>
        <v>0</v>
      </c>
      <c r="R182" s="340">
        <f>'КРМД-26'!R$182</f>
        <v>0</v>
      </c>
      <c r="S182" s="890">
        <f>+R182*0.09</f>
        <v>0</v>
      </c>
      <c r="T182" s="340">
        <f>'КРМД-26'!R$183</f>
        <v>0</v>
      </c>
      <c r="U182" s="890">
        <f>T182*0.15</f>
        <v>0</v>
      </c>
      <c r="V182" s="340">
        <f>'КРМД-26'!R$184</f>
        <v>0</v>
      </c>
      <c r="W182" s="895">
        <f>V182*0.03</f>
        <v>0</v>
      </c>
      <c r="X182" s="339" t="e">
        <f>'КРМД-26'!R$175</f>
        <v>#REF!</v>
      </c>
      <c r="Y182" s="895" t="e">
        <f>X182*0.13</f>
        <v>#REF!</v>
      </c>
      <c r="Z182" s="342" t="e">
        <f t="shared" si="99"/>
        <v>#REF!</v>
      </c>
      <c r="AA182" s="339" t="e">
        <f t="shared" si="94"/>
        <v>#REF!</v>
      </c>
      <c r="AB182" s="340" t="e">
        <f t="shared" si="98"/>
        <v>#REF!</v>
      </c>
      <c r="AC182" s="901" t="e">
        <f>Y182+N182+Q182+S182+U182+W182-(D182+H182+J182+L182)</f>
        <v>#REF!</v>
      </c>
      <c r="AD182" s="541" t="e">
        <f>'КРМД-26'!R$185</f>
        <v>#REF!</v>
      </c>
      <c r="AE182" s="847"/>
      <c r="AF182" s="851">
        <v>0.125</v>
      </c>
      <c r="AG182" s="852">
        <f t="shared" si="96"/>
        <v>0</v>
      </c>
    </row>
    <row r="183" spans="1:39" ht="12" thickBot="1">
      <c r="A183" s="542" t="s">
        <v>238</v>
      </c>
      <c r="B183" s="543" t="e">
        <f>SUM(B170:B182)</f>
        <v>#REF!</v>
      </c>
      <c r="C183" s="544" t="e">
        <f>SUM(C170:C182)</f>
        <v>#REF!</v>
      </c>
      <c r="D183" s="545" t="e">
        <f>SUM(D170:D182)</f>
        <v>#REF!</v>
      </c>
      <c r="E183" s="546" t="e">
        <f t="shared" si="91"/>
        <v>#REF!</v>
      </c>
      <c r="F183" s="547" t="e">
        <f t="shared" ref="F183:O183" si="100">SUM(F170:F182)</f>
        <v>#REF!</v>
      </c>
      <c r="G183" s="543" t="e">
        <f t="shared" si="100"/>
        <v>#REF!</v>
      </c>
      <c r="H183" s="891" t="e">
        <f t="shared" si="100"/>
        <v>#REF!</v>
      </c>
      <c r="I183" s="544">
        <f t="shared" si="100"/>
        <v>0</v>
      </c>
      <c r="J183" s="891">
        <f t="shared" si="100"/>
        <v>0</v>
      </c>
      <c r="K183" s="891">
        <f t="shared" si="100"/>
        <v>0</v>
      </c>
      <c r="L183" s="892">
        <f t="shared" si="100"/>
        <v>0</v>
      </c>
      <c r="M183" s="543" t="e">
        <f t="shared" si="100"/>
        <v>#REF!</v>
      </c>
      <c r="N183" s="891" t="e">
        <f t="shared" si="100"/>
        <v>#REF!</v>
      </c>
      <c r="O183" s="544" t="e">
        <f t="shared" si="100"/>
        <v>#REF!</v>
      </c>
      <c r="P183" s="546" t="e">
        <f>IF(O183=0,0,Q183*1000/O183)</f>
        <v>#REF!</v>
      </c>
      <c r="Q183" s="891" t="e">
        <f t="shared" ref="Q183:W183" si="101">SUM(Q170:Q182)</f>
        <v>#REF!</v>
      </c>
      <c r="R183" s="544">
        <f t="shared" si="101"/>
        <v>0</v>
      </c>
      <c r="S183" s="891">
        <f t="shared" si="101"/>
        <v>0</v>
      </c>
      <c r="T183" s="544">
        <f t="shared" si="101"/>
        <v>0</v>
      </c>
      <c r="U183" s="891">
        <f t="shared" si="101"/>
        <v>0</v>
      </c>
      <c r="V183" s="544">
        <f t="shared" si="101"/>
        <v>0</v>
      </c>
      <c r="W183" s="892">
        <f t="shared" si="101"/>
        <v>0</v>
      </c>
      <c r="X183" s="543" t="e">
        <f>SUM(X170:X182)</f>
        <v>#REF!</v>
      </c>
      <c r="Y183" s="892" t="e">
        <f>SUM(Y170:Y182)</f>
        <v>#REF!</v>
      </c>
      <c r="Z183" s="546" t="e">
        <f t="shared" si="99"/>
        <v>#REF!</v>
      </c>
      <c r="AA183" s="543" t="e">
        <f>SUM(AA170:AA182)</f>
        <v>#REF!</v>
      </c>
      <c r="AB183" s="544">
        <f>IF(AD184=0,0,AC184/AD184*1000000)</f>
        <v>0</v>
      </c>
      <c r="AC183" s="891" t="e">
        <f>Y183+N183+Q183+S183+U183+W183-(D183+H183+J183+L183)</f>
        <v>#REF!</v>
      </c>
      <c r="AD183" s="548" t="e">
        <f>SUM(AD170:AD182)</f>
        <v>#REF!</v>
      </c>
      <c r="AE183" s="847"/>
      <c r="AG183" s="345" t="e">
        <f>SUM(AG170:AG182)</f>
        <v>#REF!</v>
      </c>
    </row>
    <row r="184" spans="1:39" ht="12" thickTop="1">
      <c r="H184" s="347"/>
    </row>
  </sheetData>
  <mergeCells count="224">
    <mergeCell ref="AC1:AD1"/>
    <mergeCell ref="A3:A5"/>
    <mergeCell ref="B3:F3"/>
    <mergeCell ref="G3:L3"/>
    <mergeCell ref="M3:W3"/>
    <mergeCell ref="X3:Z3"/>
    <mergeCell ref="AA3:AA5"/>
    <mergeCell ref="AB3:AB5"/>
    <mergeCell ref="AC3:AC5"/>
    <mergeCell ref="AD3:AD5"/>
    <mergeCell ref="R4:S4"/>
    <mergeCell ref="T4:U4"/>
    <mergeCell ref="V4:W4"/>
    <mergeCell ref="X4:X5"/>
    <mergeCell ref="Y4:Y5"/>
    <mergeCell ref="Z4:Z5"/>
    <mergeCell ref="AG3:AG8"/>
    <mergeCell ref="B4:C4"/>
    <mergeCell ref="D4:D5"/>
    <mergeCell ref="E4:E5"/>
    <mergeCell ref="F4:F5"/>
    <mergeCell ref="G4:H4"/>
    <mergeCell ref="I4:J4"/>
    <mergeCell ref="K4:L4"/>
    <mergeCell ref="M4:N4"/>
    <mergeCell ref="O4:Q4"/>
    <mergeCell ref="AF3:AF8"/>
    <mergeCell ref="X27:X28"/>
    <mergeCell ref="Y27:Y28"/>
    <mergeCell ref="B27:C27"/>
    <mergeCell ref="D27:D28"/>
    <mergeCell ref="E27:E28"/>
    <mergeCell ref="F27:F28"/>
    <mergeCell ref="G27:H27"/>
    <mergeCell ref="I27:J27"/>
    <mergeCell ref="K27:L27"/>
    <mergeCell ref="M27:N27"/>
    <mergeCell ref="AC24:AD24"/>
    <mergeCell ref="AD26:AD28"/>
    <mergeCell ref="AC47:AD47"/>
    <mergeCell ref="A49:A51"/>
    <mergeCell ref="B49:F49"/>
    <mergeCell ref="G49:L49"/>
    <mergeCell ref="M49:W49"/>
    <mergeCell ref="X49:Z49"/>
    <mergeCell ref="AA49:AA51"/>
    <mergeCell ref="AB49:AB51"/>
    <mergeCell ref="Z50:Z51"/>
    <mergeCell ref="Z27:Z28"/>
    <mergeCell ref="A26:A28"/>
    <mergeCell ref="B26:F26"/>
    <mergeCell ref="G26:L26"/>
    <mergeCell ref="M26:W26"/>
    <mergeCell ref="X26:Z26"/>
    <mergeCell ref="AA26:AA28"/>
    <mergeCell ref="AB26:AB28"/>
    <mergeCell ref="AC26:AC28"/>
    <mergeCell ref="O27:Q27"/>
    <mergeCell ref="R27:S27"/>
    <mergeCell ref="T27:U27"/>
    <mergeCell ref="V27:W27"/>
    <mergeCell ref="A95:A97"/>
    <mergeCell ref="B95:F95"/>
    <mergeCell ref="G95:L95"/>
    <mergeCell ref="M95:W95"/>
    <mergeCell ref="X95:Z95"/>
    <mergeCell ref="K73:L73"/>
    <mergeCell ref="M73:N73"/>
    <mergeCell ref="O73:Q73"/>
    <mergeCell ref="R73:S73"/>
    <mergeCell ref="T73:U73"/>
    <mergeCell ref="V73:W73"/>
    <mergeCell ref="B73:C73"/>
    <mergeCell ref="D73:D74"/>
    <mergeCell ref="E73:E74"/>
    <mergeCell ref="F73:F74"/>
    <mergeCell ref="G73:H73"/>
    <mergeCell ref="A72:A74"/>
    <mergeCell ref="B72:F72"/>
    <mergeCell ref="G72:L72"/>
    <mergeCell ref="M72:W72"/>
    <mergeCell ref="X72:Z72"/>
    <mergeCell ref="I73:J73"/>
    <mergeCell ref="X73:X74"/>
    <mergeCell ref="Y73:Y74"/>
    <mergeCell ref="B50:C50"/>
    <mergeCell ref="D50:D51"/>
    <mergeCell ref="E50:E51"/>
    <mergeCell ref="F50:F51"/>
    <mergeCell ref="G50:H50"/>
    <mergeCell ref="I50:J50"/>
    <mergeCell ref="K50:L50"/>
    <mergeCell ref="AA72:AA74"/>
    <mergeCell ref="M50:N50"/>
    <mergeCell ref="O50:Q50"/>
    <mergeCell ref="R50:S50"/>
    <mergeCell ref="T50:U50"/>
    <mergeCell ref="V50:W50"/>
    <mergeCell ref="X50:X51"/>
    <mergeCell ref="Z73:Z74"/>
    <mergeCell ref="Y50:Y51"/>
    <mergeCell ref="B96:C96"/>
    <mergeCell ref="D96:D97"/>
    <mergeCell ref="E96:E97"/>
    <mergeCell ref="F96:F97"/>
    <mergeCell ref="G96:H96"/>
    <mergeCell ref="V96:W96"/>
    <mergeCell ref="X96:X97"/>
    <mergeCell ref="Y96:Y97"/>
    <mergeCell ref="Z96:Z97"/>
    <mergeCell ref="I96:J96"/>
    <mergeCell ref="K96:L96"/>
    <mergeCell ref="M96:N96"/>
    <mergeCell ref="O96:Q96"/>
    <mergeCell ref="R96:S96"/>
    <mergeCell ref="T96:U96"/>
    <mergeCell ref="A118:A120"/>
    <mergeCell ref="B118:F118"/>
    <mergeCell ref="G118:L118"/>
    <mergeCell ref="M118:W118"/>
    <mergeCell ref="X118:Z118"/>
    <mergeCell ref="AA118:AA120"/>
    <mergeCell ref="AB118:AB120"/>
    <mergeCell ref="AC118:AC120"/>
    <mergeCell ref="AD118:AD120"/>
    <mergeCell ref="B119:C119"/>
    <mergeCell ref="D119:D120"/>
    <mergeCell ref="E119:E120"/>
    <mergeCell ref="F119:F120"/>
    <mergeCell ref="G119:H119"/>
    <mergeCell ref="I119:J119"/>
    <mergeCell ref="K119:L119"/>
    <mergeCell ref="M119:N119"/>
    <mergeCell ref="O119:Q119"/>
    <mergeCell ref="R119:S119"/>
    <mergeCell ref="T119:U119"/>
    <mergeCell ref="V119:W119"/>
    <mergeCell ref="X119:X120"/>
    <mergeCell ref="Y119:Y120"/>
    <mergeCell ref="Z119:Z120"/>
    <mergeCell ref="B142:C142"/>
    <mergeCell ref="D142:D143"/>
    <mergeCell ref="E142:E143"/>
    <mergeCell ref="F142:F143"/>
    <mergeCell ref="G142:H142"/>
    <mergeCell ref="I142:J142"/>
    <mergeCell ref="K142:L142"/>
    <mergeCell ref="M142:N142"/>
    <mergeCell ref="O142:Q142"/>
    <mergeCell ref="T165:U165"/>
    <mergeCell ref="V165:W165"/>
    <mergeCell ref="M141:W141"/>
    <mergeCell ref="X141:Z141"/>
    <mergeCell ref="AA141:AA143"/>
    <mergeCell ref="AB141:AB143"/>
    <mergeCell ref="AC141:AC143"/>
    <mergeCell ref="AD141:AD143"/>
    <mergeCell ref="R142:S142"/>
    <mergeCell ref="T142:U142"/>
    <mergeCell ref="V142:W142"/>
    <mergeCell ref="X142:X143"/>
    <mergeCell ref="AA164:AA166"/>
    <mergeCell ref="AB164:AB166"/>
    <mergeCell ref="AC164:AC166"/>
    <mergeCell ref="AD164:AD166"/>
    <mergeCell ref="A141:A143"/>
    <mergeCell ref="B141:F141"/>
    <mergeCell ref="G141:L141"/>
    <mergeCell ref="X165:X166"/>
    <mergeCell ref="Y165:Y166"/>
    <mergeCell ref="Z165:Z166"/>
    <mergeCell ref="Y142:Y143"/>
    <mergeCell ref="Z142:Z143"/>
    <mergeCell ref="AC162:AD162"/>
    <mergeCell ref="A164:A166"/>
    <mergeCell ref="B164:F164"/>
    <mergeCell ref="G164:L164"/>
    <mergeCell ref="M164:W164"/>
    <mergeCell ref="X164:Z164"/>
    <mergeCell ref="B165:C165"/>
    <mergeCell ref="D165:D166"/>
    <mergeCell ref="E165:E166"/>
    <mergeCell ref="F165:F166"/>
    <mergeCell ref="G165:H165"/>
    <mergeCell ref="I165:J165"/>
    <mergeCell ref="K165:L165"/>
    <mergeCell ref="M165:N165"/>
    <mergeCell ref="O165:Q165"/>
    <mergeCell ref="R165:S165"/>
    <mergeCell ref="AI181:AM181"/>
    <mergeCell ref="AF164:AF169"/>
    <mergeCell ref="AG164:AG169"/>
    <mergeCell ref="AI20:AM20"/>
    <mergeCell ref="AI43:AM43"/>
    <mergeCell ref="AI66:AM66"/>
    <mergeCell ref="AI89:AM89"/>
    <mergeCell ref="AI112:AM112"/>
    <mergeCell ref="AI135:AM135"/>
    <mergeCell ref="AI158:AM158"/>
    <mergeCell ref="AF141:AF146"/>
    <mergeCell ref="AG141:AG146"/>
    <mergeCell ref="AF95:AF100"/>
    <mergeCell ref="AF72:AF77"/>
    <mergeCell ref="AF49:AF54"/>
    <mergeCell ref="AF26:AF31"/>
    <mergeCell ref="AF118:AF123"/>
    <mergeCell ref="AG118:AG123"/>
    <mergeCell ref="AG95:AG100"/>
    <mergeCell ref="AG72:AG77"/>
    <mergeCell ref="AG26:AG31"/>
    <mergeCell ref="AG49:AG54"/>
    <mergeCell ref="AA95:AA97"/>
    <mergeCell ref="AB95:AB97"/>
    <mergeCell ref="AC95:AC97"/>
    <mergeCell ref="AD95:AD97"/>
    <mergeCell ref="AC70:AD70"/>
    <mergeCell ref="AC49:AC51"/>
    <mergeCell ref="AD49:AD51"/>
    <mergeCell ref="AC139:AD139"/>
    <mergeCell ref="AC116:AD116"/>
    <mergeCell ref="AC93:AD93"/>
    <mergeCell ref="AB72:AB74"/>
    <mergeCell ref="AC72:AC74"/>
    <mergeCell ref="AD72:AD74"/>
  </mergeCells>
  <dataValidations count="2">
    <dataValidation type="whole" showInputMessage="1" showErrorMessage="1" errorTitle="Вес" error="Вес маленький" promptTitle="Вес" prompt="Вес маленький" sqref="E78 E9 WVN983118 WLR983118 WBV983118 VRZ983118 VID983118 UYH983118 UOL983118 UEP983118 TUT983118 TKX983118 TBB983118 SRF983118 SHJ983118 RXN983118 RNR983118 RDV983118 QTZ983118 QKD983118 QAH983118 PQL983118 PGP983118 OWT983118 OMX983118 ODB983118 NTF983118 NJJ983118 MZN983118 MPR983118 MFV983118 LVZ983118 LMD983118 LCH983118 KSL983118 KIP983118 JYT983118 JOX983118 JFB983118 IVF983118 ILJ983118 IBN983118 HRR983118 HHV983118 GXZ983118 GOD983118 GEH983118 FUL983118 FKP983118 FAT983118 EQX983118 EHB983118 DXF983118 DNJ983118 DDN983118 CTR983118 CJV983118 BZZ983118 BQD983118 BGH983118 AWL983118 AMP983118 ACT983118 SX983118 JB983118 E983118 WVN917582 WLR917582 WBV917582 VRZ917582 VID917582 UYH917582 UOL917582 UEP917582 TUT917582 TKX917582 TBB917582 SRF917582 SHJ917582 RXN917582 RNR917582 RDV917582 QTZ917582 QKD917582 QAH917582 PQL917582 PGP917582 OWT917582 OMX917582 ODB917582 NTF917582 NJJ917582 MZN917582 MPR917582 MFV917582 LVZ917582 LMD917582 LCH917582 KSL917582 KIP917582 JYT917582 JOX917582 JFB917582 IVF917582 ILJ917582 IBN917582 HRR917582 HHV917582 GXZ917582 GOD917582 GEH917582 FUL917582 FKP917582 FAT917582 EQX917582 EHB917582 DXF917582 DNJ917582 DDN917582 CTR917582 CJV917582 BZZ917582 BQD917582 BGH917582 AWL917582 AMP917582 ACT917582 SX917582 JB917582 E917582 WVN852046 WLR852046 WBV852046 VRZ852046 VID852046 UYH852046 UOL852046 UEP852046 TUT852046 TKX852046 TBB852046 SRF852046 SHJ852046 RXN852046 RNR852046 RDV852046 QTZ852046 QKD852046 QAH852046 PQL852046 PGP852046 OWT852046 OMX852046 ODB852046 NTF852046 NJJ852046 MZN852046 MPR852046 MFV852046 LVZ852046 LMD852046 LCH852046 KSL852046 KIP852046 JYT852046 JOX852046 JFB852046 IVF852046 ILJ852046 IBN852046 HRR852046 HHV852046 GXZ852046 GOD852046 GEH852046 FUL852046 FKP852046 FAT852046 EQX852046 EHB852046 DXF852046 DNJ852046 DDN852046 CTR852046 CJV852046 BZZ852046 BQD852046 BGH852046 AWL852046 AMP852046 ACT852046 SX852046 JB852046 E852046 WVN786510 WLR786510 WBV786510 VRZ786510 VID786510 UYH786510 UOL786510 UEP786510 TUT786510 TKX786510 TBB786510 SRF786510 SHJ786510 RXN786510 RNR786510 RDV786510 QTZ786510 QKD786510 QAH786510 PQL786510 PGP786510 OWT786510 OMX786510 ODB786510 NTF786510 NJJ786510 MZN786510 MPR786510 MFV786510 LVZ786510 LMD786510 LCH786510 KSL786510 KIP786510 JYT786510 JOX786510 JFB786510 IVF786510 ILJ786510 IBN786510 HRR786510 HHV786510 GXZ786510 GOD786510 GEH786510 FUL786510 FKP786510 FAT786510 EQX786510 EHB786510 DXF786510 DNJ786510 DDN786510 CTR786510 CJV786510 BZZ786510 BQD786510 BGH786510 AWL786510 AMP786510 ACT786510 SX786510 JB786510 E786510 WVN720974 WLR720974 WBV720974 VRZ720974 VID720974 UYH720974 UOL720974 UEP720974 TUT720974 TKX720974 TBB720974 SRF720974 SHJ720974 RXN720974 RNR720974 RDV720974 QTZ720974 QKD720974 QAH720974 PQL720974 PGP720974 OWT720974 OMX720974 ODB720974 NTF720974 NJJ720974 MZN720974 MPR720974 MFV720974 LVZ720974 LMD720974 LCH720974 KSL720974 KIP720974 JYT720974 JOX720974 JFB720974 IVF720974 ILJ720974 IBN720974 HRR720974 HHV720974 GXZ720974 GOD720974 GEH720974 FUL720974 FKP720974 FAT720974 EQX720974 EHB720974 DXF720974 DNJ720974 DDN720974 CTR720974 CJV720974 BZZ720974 BQD720974 BGH720974 AWL720974 AMP720974 ACT720974 SX720974 JB720974 E720974 WVN655438 WLR655438 WBV655438 VRZ655438 VID655438 UYH655438 UOL655438 UEP655438 TUT655438 TKX655438 TBB655438 SRF655438 SHJ655438 RXN655438 RNR655438 RDV655438 QTZ655438 QKD655438 QAH655438 PQL655438 PGP655438 OWT655438 OMX655438 ODB655438 NTF655438 NJJ655438 MZN655438 MPR655438 MFV655438 LVZ655438 LMD655438 LCH655438 KSL655438 KIP655438 JYT655438 JOX655438 JFB655438 IVF655438 ILJ655438 IBN655438 HRR655438 HHV655438 GXZ655438 GOD655438 GEH655438 FUL655438 FKP655438 FAT655438 EQX655438 EHB655438 DXF655438 DNJ655438 DDN655438 CTR655438 CJV655438 BZZ655438 BQD655438 BGH655438 AWL655438 AMP655438 ACT655438 SX655438 JB655438 E655438 WVN589902 WLR589902 WBV589902 VRZ589902 VID589902 UYH589902 UOL589902 UEP589902 TUT589902 TKX589902 TBB589902 SRF589902 SHJ589902 RXN589902 RNR589902 RDV589902 QTZ589902 QKD589902 QAH589902 PQL589902 PGP589902 OWT589902 OMX589902 ODB589902 NTF589902 NJJ589902 MZN589902 MPR589902 MFV589902 LVZ589902 LMD589902 LCH589902 KSL589902 KIP589902 JYT589902 JOX589902 JFB589902 IVF589902 ILJ589902 IBN589902 HRR589902 HHV589902 GXZ589902 GOD589902 GEH589902 FUL589902 FKP589902 FAT589902 EQX589902 EHB589902 DXF589902 DNJ589902 DDN589902 CTR589902 CJV589902 BZZ589902 BQD589902 BGH589902 AWL589902 AMP589902 ACT589902 SX589902 JB589902 E589902 WVN524366 WLR524366 WBV524366 VRZ524366 VID524366 UYH524366 UOL524366 UEP524366 TUT524366 TKX524366 TBB524366 SRF524366 SHJ524366 RXN524366 RNR524366 RDV524366 QTZ524366 QKD524366 QAH524366 PQL524366 PGP524366 OWT524366 OMX524366 ODB524366 NTF524366 NJJ524366 MZN524366 MPR524366 MFV524366 LVZ524366 LMD524366 LCH524366 KSL524366 KIP524366 JYT524366 JOX524366 JFB524366 IVF524366 ILJ524366 IBN524366 HRR524366 HHV524366 GXZ524366 GOD524366 GEH524366 FUL524366 FKP524366 FAT524366 EQX524366 EHB524366 DXF524366 DNJ524366 DDN524366 CTR524366 CJV524366 BZZ524366 BQD524366 BGH524366 AWL524366 AMP524366 ACT524366 SX524366 JB524366 E524366 WVN458830 WLR458830 WBV458830 VRZ458830 VID458830 UYH458830 UOL458830 UEP458830 TUT458830 TKX458830 TBB458830 SRF458830 SHJ458830 RXN458830 RNR458830 RDV458830 QTZ458830 QKD458830 QAH458830 PQL458830 PGP458830 OWT458830 OMX458830 ODB458830 NTF458830 NJJ458830 MZN458830 MPR458830 MFV458830 LVZ458830 LMD458830 LCH458830 KSL458830 KIP458830 JYT458830 JOX458830 JFB458830 IVF458830 ILJ458830 IBN458830 HRR458830 HHV458830 GXZ458830 GOD458830 GEH458830 FUL458830 FKP458830 FAT458830 EQX458830 EHB458830 DXF458830 DNJ458830 DDN458830 CTR458830 CJV458830 BZZ458830 BQD458830 BGH458830 AWL458830 AMP458830 ACT458830 SX458830 JB458830 E458830 WVN393294 WLR393294 WBV393294 VRZ393294 VID393294 UYH393294 UOL393294 UEP393294 TUT393294 TKX393294 TBB393294 SRF393294 SHJ393294 RXN393294 RNR393294 RDV393294 QTZ393294 QKD393294 QAH393294 PQL393294 PGP393294 OWT393294 OMX393294 ODB393294 NTF393294 NJJ393294 MZN393294 MPR393294 MFV393294 LVZ393294 LMD393294 LCH393294 KSL393294 KIP393294 JYT393294 JOX393294 JFB393294 IVF393294 ILJ393294 IBN393294 HRR393294 HHV393294 GXZ393294 GOD393294 GEH393294 FUL393294 FKP393294 FAT393294 EQX393294 EHB393294 DXF393294 DNJ393294 DDN393294 CTR393294 CJV393294 BZZ393294 BQD393294 BGH393294 AWL393294 AMP393294 ACT393294 SX393294 JB393294 E393294 WVN327758 WLR327758 WBV327758 VRZ327758 VID327758 UYH327758 UOL327758 UEP327758 TUT327758 TKX327758 TBB327758 SRF327758 SHJ327758 RXN327758 RNR327758 RDV327758 QTZ327758 QKD327758 QAH327758 PQL327758 PGP327758 OWT327758 OMX327758 ODB327758 NTF327758 NJJ327758 MZN327758 MPR327758 MFV327758 LVZ327758 LMD327758 LCH327758 KSL327758 KIP327758 JYT327758 JOX327758 JFB327758 IVF327758 ILJ327758 IBN327758 HRR327758 HHV327758 GXZ327758 GOD327758 GEH327758 FUL327758 FKP327758 FAT327758 EQX327758 EHB327758 DXF327758 DNJ327758 DDN327758 CTR327758 CJV327758 BZZ327758 BQD327758 BGH327758 AWL327758 AMP327758 ACT327758 SX327758 JB327758 E327758 WVN262222 WLR262222 WBV262222 VRZ262222 VID262222 UYH262222 UOL262222 UEP262222 TUT262222 TKX262222 TBB262222 SRF262222 SHJ262222 RXN262222 RNR262222 RDV262222 QTZ262222 QKD262222 QAH262222 PQL262222 PGP262222 OWT262222 OMX262222 ODB262222 NTF262222 NJJ262222 MZN262222 MPR262222 MFV262222 LVZ262222 LMD262222 LCH262222 KSL262222 KIP262222 JYT262222 JOX262222 JFB262222 IVF262222 ILJ262222 IBN262222 HRR262222 HHV262222 GXZ262222 GOD262222 GEH262222 FUL262222 FKP262222 FAT262222 EQX262222 EHB262222 DXF262222 DNJ262222 DDN262222 CTR262222 CJV262222 BZZ262222 BQD262222 BGH262222 AWL262222 AMP262222 ACT262222 SX262222 JB262222 E262222 WVN196686 WLR196686 WBV196686 VRZ196686 VID196686 UYH196686 UOL196686 UEP196686 TUT196686 TKX196686 TBB196686 SRF196686 SHJ196686 RXN196686 RNR196686 RDV196686 QTZ196686 QKD196686 QAH196686 PQL196686 PGP196686 OWT196686 OMX196686 ODB196686 NTF196686 NJJ196686 MZN196686 MPR196686 MFV196686 LVZ196686 LMD196686 LCH196686 KSL196686 KIP196686 JYT196686 JOX196686 JFB196686 IVF196686 ILJ196686 IBN196686 HRR196686 HHV196686 GXZ196686 GOD196686 GEH196686 FUL196686 FKP196686 FAT196686 EQX196686 EHB196686 DXF196686 DNJ196686 DDN196686 CTR196686 CJV196686 BZZ196686 BQD196686 BGH196686 AWL196686 AMP196686 ACT196686 SX196686 JB196686 E196686 WVN131150 WLR131150 WBV131150 VRZ131150 VID131150 UYH131150 UOL131150 UEP131150 TUT131150 TKX131150 TBB131150 SRF131150 SHJ131150 RXN131150 RNR131150 RDV131150 QTZ131150 QKD131150 QAH131150 PQL131150 PGP131150 OWT131150 OMX131150 ODB131150 NTF131150 NJJ131150 MZN131150 MPR131150 MFV131150 LVZ131150 LMD131150 LCH131150 KSL131150 KIP131150 JYT131150 JOX131150 JFB131150 IVF131150 ILJ131150 IBN131150 HRR131150 HHV131150 GXZ131150 GOD131150 GEH131150 FUL131150 FKP131150 FAT131150 EQX131150 EHB131150 DXF131150 DNJ131150 DDN131150 CTR131150 CJV131150 BZZ131150 BQD131150 BGH131150 AWL131150 AMP131150 ACT131150 SX131150 JB131150 E131150 WVN65614 WLR65614 WBV65614 VRZ65614 VID65614 UYH65614 UOL65614 UEP65614 TUT65614 TKX65614 TBB65614 SRF65614 SHJ65614 RXN65614 RNR65614 RDV65614 QTZ65614 QKD65614 QAH65614 PQL65614 PGP65614 OWT65614 OMX65614 ODB65614 NTF65614 NJJ65614 MZN65614 MPR65614 MFV65614 LVZ65614 LMD65614 LCH65614 KSL65614 KIP65614 JYT65614 JOX65614 JFB65614 IVF65614 ILJ65614 IBN65614 HRR65614 HHV65614 GXZ65614 GOD65614 GEH65614 FUL65614 FKP65614 FAT65614 EQX65614 EHB65614 DXF65614 DNJ65614 DDN65614 CTR65614 CJV65614 BZZ65614 BQD65614 BGH65614 AWL65614 AMP65614 ACT65614 SX65614 JB65614 E65614 WVN78 WLR78 WBV78 VRZ78 VID78 UYH78 UOL78 UEP78 TUT78 TKX78 TBB78 SRF78 SHJ78 RXN78 RNR78 RDV78 QTZ78 QKD78 QAH78 PQL78 PGP78 OWT78 OMX78 ODB78 NTF78 NJJ78 MZN78 MPR78 MFV78 LVZ78 LMD78 LCH78 KSL78 KIP78 JYT78 JOX78 JFB78 IVF78 ILJ78 IBN78 HRR78 HHV78 GXZ78 GOD78 GEH78 FUL78 FKP78 FAT78 EQX78 EHB78 DXF78 DNJ78 DDN78 CTR78 CJV78 BZZ78 BQD78 BGH78 AWL78 AMP78 ACT78 SX78 JB78 E32 WVN983095 WLR983095 WBV983095 VRZ983095 VID983095 UYH983095 UOL983095 UEP983095 TUT983095 TKX983095 TBB983095 SRF983095 SHJ983095 RXN983095 RNR983095 RDV983095 QTZ983095 QKD983095 QAH983095 PQL983095 PGP983095 OWT983095 OMX983095 ODB983095 NTF983095 NJJ983095 MZN983095 MPR983095 MFV983095 LVZ983095 LMD983095 LCH983095 KSL983095 KIP983095 JYT983095 JOX983095 JFB983095 IVF983095 ILJ983095 IBN983095 HRR983095 HHV983095 GXZ983095 GOD983095 GEH983095 FUL983095 FKP983095 FAT983095 EQX983095 EHB983095 DXF983095 DNJ983095 DDN983095 CTR983095 CJV983095 BZZ983095 BQD983095 BGH983095 AWL983095 AMP983095 ACT983095 SX983095 JB983095 E983095 WVN917559 WLR917559 WBV917559 VRZ917559 VID917559 UYH917559 UOL917559 UEP917559 TUT917559 TKX917559 TBB917559 SRF917559 SHJ917559 RXN917559 RNR917559 RDV917559 QTZ917559 QKD917559 QAH917559 PQL917559 PGP917559 OWT917559 OMX917559 ODB917559 NTF917559 NJJ917559 MZN917559 MPR917559 MFV917559 LVZ917559 LMD917559 LCH917559 KSL917559 KIP917559 JYT917559 JOX917559 JFB917559 IVF917559 ILJ917559 IBN917559 HRR917559 HHV917559 GXZ917559 GOD917559 GEH917559 FUL917559 FKP917559 FAT917559 EQX917559 EHB917559 DXF917559 DNJ917559 DDN917559 CTR917559 CJV917559 BZZ917559 BQD917559 BGH917559 AWL917559 AMP917559 ACT917559 SX917559 JB917559 E917559 WVN852023 WLR852023 WBV852023 VRZ852023 VID852023 UYH852023 UOL852023 UEP852023 TUT852023 TKX852023 TBB852023 SRF852023 SHJ852023 RXN852023 RNR852023 RDV852023 QTZ852023 QKD852023 QAH852023 PQL852023 PGP852023 OWT852023 OMX852023 ODB852023 NTF852023 NJJ852023 MZN852023 MPR852023 MFV852023 LVZ852023 LMD852023 LCH852023 KSL852023 KIP852023 JYT852023 JOX852023 JFB852023 IVF852023 ILJ852023 IBN852023 HRR852023 HHV852023 GXZ852023 GOD852023 GEH852023 FUL852023 FKP852023 FAT852023 EQX852023 EHB852023 DXF852023 DNJ852023 DDN852023 CTR852023 CJV852023 BZZ852023 BQD852023 BGH852023 AWL852023 AMP852023 ACT852023 SX852023 JB852023 E852023 WVN786487 WLR786487 WBV786487 VRZ786487 VID786487 UYH786487 UOL786487 UEP786487 TUT786487 TKX786487 TBB786487 SRF786487 SHJ786487 RXN786487 RNR786487 RDV786487 QTZ786487 QKD786487 QAH786487 PQL786487 PGP786487 OWT786487 OMX786487 ODB786487 NTF786487 NJJ786487 MZN786487 MPR786487 MFV786487 LVZ786487 LMD786487 LCH786487 KSL786487 KIP786487 JYT786487 JOX786487 JFB786487 IVF786487 ILJ786487 IBN786487 HRR786487 HHV786487 GXZ786487 GOD786487 GEH786487 FUL786487 FKP786487 FAT786487 EQX786487 EHB786487 DXF786487 DNJ786487 DDN786487 CTR786487 CJV786487 BZZ786487 BQD786487 BGH786487 AWL786487 AMP786487 ACT786487 SX786487 JB786487 E786487 WVN720951 WLR720951 WBV720951 VRZ720951 VID720951 UYH720951 UOL720951 UEP720951 TUT720951 TKX720951 TBB720951 SRF720951 SHJ720951 RXN720951 RNR720951 RDV720951 QTZ720951 QKD720951 QAH720951 PQL720951 PGP720951 OWT720951 OMX720951 ODB720951 NTF720951 NJJ720951 MZN720951 MPR720951 MFV720951 LVZ720951 LMD720951 LCH720951 KSL720951 KIP720951 JYT720951 JOX720951 JFB720951 IVF720951 ILJ720951 IBN720951 HRR720951 HHV720951 GXZ720951 GOD720951 GEH720951 FUL720951 FKP720951 FAT720951 EQX720951 EHB720951 DXF720951 DNJ720951 DDN720951 CTR720951 CJV720951 BZZ720951 BQD720951 BGH720951 AWL720951 AMP720951 ACT720951 SX720951 JB720951 E720951 WVN655415 WLR655415 WBV655415 VRZ655415 VID655415 UYH655415 UOL655415 UEP655415 TUT655415 TKX655415 TBB655415 SRF655415 SHJ655415 RXN655415 RNR655415 RDV655415 QTZ655415 QKD655415 QAH655415 PQL655415 PGP655415 OWT655415 OMX655415 ODB655415 NTF655415 NJJ655415 MZN655415 MPR655415 MFV655415 LVZ655415 LMD655415 LCH655415 KSL655415 KIP655415 JYT655415 JOX655415 JFB655415 IVF655415 ILJ655415 IBN655415 HRR655415 HHV655415 GXZ655415 GOD655415 GEH655415 FUL655415 FKP655415 FAT655415 EQX655415 EHB655415 DXF655415 DNJ655415 DDN655415 CTR655415 CJV655415 BZZ655415 BQD655415 BGH655415 AWL655415 AMP655415 ACT655415 SX655415 JB655415 E655415 WVN589879 WLR589879 WBV589879 VRZ589879 VID589879 UYH589879 UOL589879 UEP589879 TUT589879 TKX589879 TBB589879 SRF589879 SHJ589879 RXN589879 RNR589879 RDV589879 QTZ589879 QKD589879 QAH589879 PQL589879 PGP589879 OWT589879 OMX589879 ODB589879 NTF589879 NJJ589879 MZN589879 MPR589879 MFV589879 LVZ589879 LMD589879 LCH589879 KSL589879 KIP589879 JYT589879 JOX589879 JFB589879 IVF589879 ILJ589879 IBN589879 HRR589879 HHV589879 GXZ589879 GOD589879 GEH589879 FUL589879 FKP589879 FAT589879 EQX589879 EHB589879 DXF589879 DNJ589879 DDN589879 CTR589879 CJV589879 BZZ589879 BQD589879 BGH589879 AWL589879 AMP589879 ACT589879 SX589879 JB589879 E589879 WVN524343 WLR524343 WBV524343 VRZ524343 VID524343 UYH524343 UOL524343 UEP524343 TUT524343 TKX524343 TBB524343 SRF524343 SHJ524343 RXN524343 RNR524343 RDV524343 QTZ524343 QKD524343 QAH524343 PQL524343 PGP524343 OWT524343 OMX524343 ODB524343 NTF524343 NJJ524343 MZN524343 MPR524343 MFV524343 LVZ524343 LMD524343 LCH524343 KSL524343 KIP524343 JYT524343 JOX524343 JFB524343 IVF524343 ILJ524343 IBN524343 HRR524343 HHV524343 GXZ524343 GOD524343 GEH524343 FUL524343 FKP524343 FAT524343 EQX524343 EHB524343 DXF524343 DNJ524343 DDN524343 CTR524343 CJV524343 BZZ524343 BQD524343 BGH524343 AWL524343 AMP524343 ACT524343 SX524343 JB524343 E524343 WVN458807 WLR458807 WBV458807 VRZ458807 VID458807 UYH458807 UOL458807 UEP458807 TUT458807 TKX458807 TBB458807 SRF458807 SHJ458807 RXN458807 RNR458807 RDV458807 QTZ458807 QKD458807 QAH458807 PQL458807 PGP458807 OWT458807 OMX458807 ODB458807 NTF458807 NJJ458807 MZN458807 MPR458807 MFV458807 LVZ458807 LMD458807 LCH458807 KSL458807 KIP458807 JYT458807 JOX458807 JFB458807 IVF458807 ILJ458807 IBN458807 HRR458807 HHV458807 GXZ458807 GOD458807 GEH458807 FUL458807 FKP458807 FAT458807 EQX458807 EHB458807 DXF458807 DNJ458807 DDN458807 CTR458807 CJV458807 BZZ458807 BQD458807 BGH458807 AWL458807 AMP458807 ACT458807 SX458807 JB458807 E458807 WVN393271 WLR393271 WBV393271 VRZ393271 VID393271 UYH393271 UOL393271 UEP393271 TUT393271 TKX393271 TBB393271 SRF393271 SHJ393271 RXN393271 RNR393271 RDV393271 QTZ393271 QKD393271 QAH393271 PQL393271 PGP393271 OWT393271 OMX393271 ODB393271 NTF393271 NJJ393271 MZN393271 MPR393271 MFV393271 LVZ393271 LMD393271 LCH393271 KSL393271 KIP393271 JYT393271 JOX393271 JFB393271 IVF393271 ILJ393271 IBN393271 HRR393271 HHV393271 GXZ393271 GOD393271 GEH393271 FUL393271 FKP393271 FAT393271 EQX393271 EHB393271 DXF393271 DNJ393271 DDN393271 CTR393271 CJV393271 BZZ393271 BQD393271 BGH393271 AWL393271 AMP393271 ACT393271 SX393271 JB393271 E393271 WVN327735 WLR327735 WBV327735 VRZ327735 VID327735 UYH327735 UOL327735 UEP327735 TUT327735 TKX327735 TBB327735 SRF327735 SHJ327735 RXN327735 RNR327735 RDV327735 QTZ327735 QKD327735 QAH327735 PQL327735 PGP327735 OWT327735 OMX327735 ODB327735 NTF327735 NJJ327735 MZN327735 MPR327735 MFV327735 LVZ327735 LMD327735 LCH327735 KSL327735 KIP327735 JYT327735 JOX327735 JFB327735 IVF327735 ILJ327735 IBN327735 HRR327735 HHV327735 GXZ327735 GOD327735 GEH327735 FUL327735 FKP327735 FAT327735 EQX327735 EHB327735 DXF327735 DNJ327735 DDN327735 CTR327735 CJV327735 BZZ327735 BQD327735 BGH327735 AWL327735 AMP327735 ACT327735 SX327735 JB327735 E327735 WVN262199 WLR262199 WBV262199 VRZ262199 VID262199 UYH262199 UOL262199 UEP262199 TUT262199 TKX262199 TBB262199 SRF262199 SHJ262199 RXN262199 RNR262199 RDV262199 QTZ262199 QKD262199 QAH262199 PQL262199 PGP262199 OWT262199 OMX262199 ODB262199 NTF262199 NJJ262199 MZN262199 MPR262199 MFV262199 LVZ262199 LMD262199 LCH262199 KSL262199 KIP262199 JYT262199 JOX262199 JFB262199 IVF262199 ILJ262199 IBN262199 HRR262199 HHV262199 GXZ262199 GOD262199 GEH262199 FUL262199 FKP262199 FAT262199 EQX262199 EHB262199 DXF262199 DNJ262199 DDN262199 CTR262199 CJV262199 BZZ262199 BQD262199 BGH262199 AWL262199 AMP262199 ACT262199 SX262199 JB262199 E262199 WVN196663 WLR196663 WBV196663 VRZ196663 VID196663 UYH196663 UOL196663 UEP196663 TUT196663 TKX196663 TBB196663 SRF196663 SHJ196663 RXN196663 RNR196663 RDV196663 QTZ196663 QKD196663 QAH196663 PQL196663 PGP196663 OWT196663 OMX196663 ODB196663 NTF196663 NJJ196663 MZN196663 MPR196663 MFV196663 LVZ196663 LMD196663 LCH196663 KSL196663 KIP196663 JYT196663 JOX196663 JFB196663 IVF196663 ILJ196663 IBN196663 HRR196663 HHV196663 GXZ196663 GOD196663 GEH196663 FUL196663 FKP196663 FAT196663 EQX196663 EHB196663 DXF196663 DNJ196663 DDN196663 CTR196663 CJV196663 BZZ196663 BQD196663 BGH196663 AWL196663 AMP196663 ACT196663 SX196663 JB196663 E196663 WVN131127 WLR131127 WBV131127 VRZ131127 VID131127 UYH131127 UOL131127 UEP131127 TUT131127 TKX131127 TBB131127 SRF131127 SHJ131127 RXN131127 RNR131127 RDV131127 QTZ131127 QKD131127 QAH131127 PQL131127 PGP131127 OWT131127 OMX131127 ODB131127 NTF131127 NJJ131127 MZN131127 MPR131127 MFV131127 LVZ131127 LMD131127 LCH131127 KSL131127 KIP131127 JYT131127 JOX131127 JFB131127 IVF131127 ILJ131127 IBN131127 HRR131127 HHV131127 GXZ131127 GOD131127 GEH131127 FUL131127 FKP131127 FAT131127 EQX131127 EHB131127 DXF131127 DNJ131127 DDN131127 CTR131127 CJV131127 BZZ131127 BQD131127 BGH131127 AWL131127 AMP131127 ACT131127 SX131127 JB131127 E131127 WVN65591 WLR65591 WBV65591 VRZ65591 VID65591 UYH65591 UOL65591 UEP65591 TUT65591 TKX65591 TBB65591 SRF65591 SHJ65591 RXN65591 RNR65591 RDV65591 QTZ65591 QKD65591 QAH65591 PQL65591 PGP65591 OWT65591 OMX65591 ODB65591 NTF65591 NJJ65591 MZN65591 MPR65591 MFV65591 LVZ65591 LMD65591 LCH65591 KSL65591 KIP65591 JYT65591 JOX65591 JFB65591 IVF65591 ILJ65591 IBN65591 HRR65591 HHV65591 GXZ65591 GOD65591 GEH65591 FUL65591 FKP65591 FAT65591 EQX65591 EHB65591 DXF65591 DNJ65591 DDN65591 CTR65591 CJV65591 BZZ65591 BQD65591 BGH65591 AWL65591 AMP65591 ACT65591 SX65591 JB65591 E65591 WVN55 WLR55 WBV55 VRZ55 VID55 UYH55 UOL55 UEP55 TUT55 TKX55 TBB55 SRF55 SHJ55 RXN55 RNR55 RDV55 QTZ55 QKD55 QAH55 PQL55 PGP55 OWT55 OMX55 ODB55 NTF55 NJJ55 MZN55 MPR55 MFV55 LVZ55 LMD55 LCH55 KSL55 KIP55 JYT55 JOX55 JFB55 IVF55 ILJ55 IBN55 HRR55 HHV55 GXZ55 GOD55 GEH55 FUL55 FKP55 FAT55 EQX55 EHB55 DXF55 DNJ55 DDN55 CTR55 CJV55 BZZ55 BQD55 BGH55 AWL55 AMP55 ACT55 SX55 JB55 E55 WVN983071 WLR983071 WBV983071 VRZ983071 VID983071 UYH983071 UOL983071 UEP983071 TUT983071 TKX983071 TBB983071 SRF983071 SHJ983071 RXN983071 RNR983071 RDV983071 QTZ983071 QKD983071 QAH983071 PQL983071 PGP983071 OWT983071 OMX983071 ODB983071 NTF983071 NJJ983071 MZN983071 MPR983071 MFV983071 LVZ983071 LMD983071 LCH983071 KSL983071 KIP983071 JYT983071 JOX983071 JFB983071 IVF983071 ILJ983071 IBN983071 HRR983071 HHV983071 GXZ983071 GOD983071 GEH983071 FUL983071 FKP983071 FAT983071 EQX983071 EHB983071 DXF983071 DNJ983071 DDN983071 CTR983071 CJV983071 BZZ983071 BQD983071 BGH983071 AWL983071 AMP983071 ACT983071 SX983071 JB983071 E983071 WVN917535 WLR917535 WBV917535 VRZ917535 VID917535 UYH917535 UOL917535 UEP917535 TUT917535 TKX917535 TBB917535 SRF917535 SHJ917535 RXN917535 RNR917535 RDV917535 QTZ917535 QKD917535 QAH917535 PQL917535 PGP917535 OWT917535 OMX917535 ODB917535 NTF917535 NJJ917535 MZN917535 MPR917535 MFV917535 LVZ917535 LMD917535 LCH917535 KSL917535 KIP917535 JYT917535 JOX917535 JFB917535 IVF917535 ILJ917535 IBN917535 HRR917535 HHV917535 GXZ917535 GOD917535 GEH917535 FUL917535 FKP917535 FAT917535 EQX917535 EHB917535 DXF917535 DNJ917535 DDN917535 CTR917535 CJV917535 BZZ917535 BQD917535 BGH917535 AWL917535 AMP917535 ACT917535 SX917535 JB917535 E917535 WVN851999 WLR851999 WBV851999 VRZ851999 VID851999 UYH851999 UOL851999 UEP851999 TUT851999 TKX851999 TBB851999 SRF851999 SHJ851999 RXN851999 RNR851999 RDV851999 QTZ851999 QKD851999 QAH851999 PQL851999 PGP851999 OWT851999 OMX851999 ODB851999 NTF851999 NJJ851999 MZN851999 MPR851999 MFV851999 LVZ851999 LMD851999 LCH851999 KSL851999 KIP851999 JYT851999 JOX851999 JFB851999 IVF851999 ILJ851999 IBN851999 HRR851999 HHV851999 GXZ851999 GOD851999 GEH851999 FUL851999 FKP851999 FAT851999 EQX851999 EHB851999 DXF851999 DNJ851999 DDN851999 CTR851999 CJV851999 BZZ851999 BQD851999 BGH851999 AWL851999 AMP851999 ACT851999 SX851999 JB851999 E851999 WVN786463 WLR786463 WBV786463 VRZ786463 VID786463 UYH786463 UOL786463 UEP786463 TUT786463 TKX786463 TBB786463 SRF786463 SHJ786463 RXN786463 RNR786463 RDV786463 QTZ786463 QKD786463 QAH786463 PQL786463 PGP786463 OWT786463 OMX786463 ODB786463 NTF786463 NJJ786463 MZN786463 MPR786463 MFV786463 LVZ786463 LMD786463 LCH786463 KSL786463 KIP786463 JYT786463 JOX786463 JFB786463 IVF786463 ILJ786463 IBN786463 HRR786463 HHV786463 GXZ786463 GOD786463 GEH786463 FUL786463 FKP786463 FAT786463 EQX786463 EHB786463 DXF786463 DNJ786463 DDN786463 CTR786463 CJV786463 BZZ786463 BQD786463 BGH786463 AWL786463 AMP786463 ACT786463 SX786463 JB786463 E786463 WVN720927 WLR720927 WBV720927 VRZ720927 VID720927 UYH720927 UOL720927 UEP720927 TUT720927 TKX720927 TBB720927 SRF720927 SHJ720927 RXN720927 RNR720927 RDV720927 QTZ720927 QKD720927 QAH720927 PQL720927 PGP720927 OWT720927 OMX720927 ODB720927 NTF720927 NJJ720927 MZN720927 MPR720927 MFV720927 LVZ720927 LMD720927 LCH720927 KSL720927 KIP720927 JYT720927 JOX720927 JFB720927 IVF720927 ILJ720927 IBN720927 HRR720927 HHV720927 GXZ720927 GOD720927 GEH720927 FUL720927 FKP720927 FAT720927 EQX720927 EHB720927 DXF720927 DNJ720927 DDN720927 CTR720927 CJV720927 BZZ720927 BQD720927 BGH720927 AWL720927 AMP720927 ACT720927 SX720927 JB720927 E720927 WVN655391 WLR655391 WBV655391 VRZ655391 VID655391 UYH655391 UOL655391 UEP655391 TUT655391 TKX655391 TBB655391 SRF655391 SHJ655391 RXN655391 RNR655391 RDV655391 QTZ655391 QKD655391 QAH655391 PQL655391 PGP655391 OWT655391 OMX655391 ODB655391 NTF655391 NJJ655391 MZN655391 MPR655391 MFV655391 LVZ655391 LMD655391 LCH655391 KSL655391 KIP655391 JYT655391 JOX655391 JFB655391 IVF655391 ILJ655391 IBN655391 HRR655391 HHV655391 GXZ655391 GOD655391 GEH655391 FUL655391 FKP655391 FAT655391 EQX655391 EHB655391 DXF655391 DNJ655391 DDN655391 CTR655391 CJV655391 BZZ655391 BQD655391 BGH655391 AWL655391 AMP655391 ACT655391 SX655391 JB655391 E655391 WVN589855 WLR589855 WBV589855 VRZ589855 VID589855 UYH589855 UOL589855 UEP589855 TUT589855 TKX589855 TBB589855 SRF589855 SHJ589855 RXN589855 RNR589855 RDV589855 QTZ589855 QKD589855 QAH589855 PQL589855 PGP589855 OWT589855 OMX589855 ODB589855 NTF589855 NJJ589855 MZN589855 MPR589855 MFV589855 LVZ589855 LMD589855 LCH589855 KSL589855 KIP589855 JYT589855 JOX589855 JFB589855 IVF589855 ILJ589855 IBN589855 HRR589855 HHV589855 GXZ589855 GOD589855 GEH589855 FUL589855 FKP589855 FAT589855 EQX589855 EHB589855 DXF589855 DNJ589855 DDN589855 CTR589855 CJV589855 BZZ589855 BQD589855 BGH589855 AWL589855 AMP589855 ACT589855 SX589855 JB589855 E589855 WVN524319 WLR524319 WBV524319 VRZ524319 VID524319 UYH524319 UOL524319 UEP524319 TUT524319 TKX524319 TBB524319 SRF524319 SHJ524319 RXN524319 RNR524319 RDV524319 QTZ524319 QKD524319 QAH524319 PQL524319 PGP524319 OWT524319 OMX524319 ODB524319 NTF524319 NJJ524319 MZN524319 MPR524319 MFV524319 LVZ524319 LMD524319 LCH524319 KSL524319 KIP524319 JYT524319 JOX524319 JFB524319 IVF524319 ILJ524319 IBN524319 HRR524319 HHV524319 GXZ524319 GOD524319 GEH524319 FUL524319 FKP524319 FAT524319 EQX524319 EHB524319 DXF524319 DNJ524319 DDN524319 CTR524319 CJV524319 BZZ524319 BQD524319 BGH524319 AWL524319 AMP524319 ACT524319 SX524319 JB524319 E524319 WVN458783 WLR458783 WBV458783 VRZ458783 VID458783 UYH458783 UOL458783 UEP458783 TUT458783 TKX458783 TBB458783 SRF458783 SHJ458783 RXN458783 RNR458783 RDV458783 QTZ458783 QKD458783 QAH458783 PQL458783 PGP458783 OWT458783 OMX458783 ODB458783 NTF458783 NJJ458783 MZN458783 MPR458783 MFV458783 LVZ458783 LMD458783 LCH458783 KSL458783 KIP458783 JYT458783 JOX458783 JFB458783 IVF458783 ILJ458783 IBN458783 HRR458783 HHV458783 GXZ458783 GOD458783 GEH458783 FUL458783 FKP458783 FAT458783 EQX458783 EHB458783 DXF458783 DNJ458783 DDN458783 CTR458783 CJV458783 BZZ458783 BQD458783 BGH458783 AWL458783 AMP458783 ACT458783 SX458783 JB458783 E458783 WVN393247 WLR393247 WBV393247 VRZ393247 VID393247 UYH393247 UOL393247 UEP393247 TUT393247 TKX393247 TBB393247 SRF393247 SHJ393247 RXN393247 RNR393247 RDV393247 QTZ393247 QKD393247 QAH393247 PQL393247 PGP393247 OWT393247 OMX393247 ODB393247 NTF393247 NJJ393247 MZN393247 MPR393247 MFV393247 LVZ393247 LMD393247 LCH393247 KSL393247 KIP393247 JYT393247 JOX393247 JFB393247 IVF393247 ILJ393247 IBN393247 HRR393247 HHV393247 GXZ393247 GOD393247 GEH393247 FUL393247 FKP393247 FAT393247 EQX393247 EHB393247 DXF393247 DNJ393247 DDN393247 CTR393247 CJV393247 BZZ393247 BQD393247 BGH393247 AWL393247 AMP393247 ACT393247 SX393247 JB393247 E393247 WVN327711 WLR327711 WBV327711 VRZ327711 VID327711 UYH327711 UOL327711 UEP327711 TUT327711 TKX327711 TBB327711 SRF327711 SHJ327711 RXN327711 RNR327711 RDV327711 QTZ327711 QKD327711 QAH327711 PQL327711 PGP327711 OWT327711 OMX327711 ODB327711 NTF327711 NJJ327711 MZN327711 MPR327711 MFV327711 LVZ327711 LMD327711 LCH327711 KSL327711 KIP327711 JYT327711 JOX327711 JFB327711 IVF327711 ILJ327711 IBN327711 HRR327711 HHV327711 GXZ327711 GOD327711 GEH327711 FUL327711 FKP327711 FAT327711 EQX327711 EHB327711 DXF327711 DNJ327711 DDN327711 CTR327711 CJV327711 BZZ327711 BQD327711 BGH327711 AWL327711 AMP327711 ACT327711 SX327711 JB327711 E327711 WVN262175 WLR262175 WBV262175 VRZ262175 VID262175 UYH262175 UOL262175 UEP262175 TUT262175 TKX262175 TBB262175 SRF262175 SHJ262175 RXN262175 RNR262175 RDV262175 QTZ262175 QKD262175 QAH262175 PQL262175 PGP262175 OWT262175 OMX262175 ODB262175 NTF262175 NJJ262175 MZN262175 MPR262175 MFV262175 LVZ262175 LMD262175 LCH262175 KSL262175 KIP262175 JYT262175 JOX262175 JFB262175 IVF262175 ILJ262175 IBN262175 HRR262175 HHV262175 GXZ262175 GOD262175 GEH262175 FUL262175 FKP262175 FAT262175 EQX262175 EHB262175 DXF262175 DNJ262175 DDN262175 CTR262175 CJV262175 BZZ262175 BQD262175 BGH262175 AWL262175 AMP262175 ACT262175 SX262175 JB262175 E262175 WVN196639 WLR196639 WBV196639 VRZ196639 VID196639 UYH196639 UOL196639 UEP196639 TUT196639 TKX196639 TBB196639 SRF196639 SHJ196639 RXN196639 RNR196639 RDV196639 QTZ196639 QKD196639 QAH196639 PQL196639 PGP196639 OWT196639 OMX196639 ODB196639 NTF196639 NJJ196639 MZN196639 MPR196639 MFV196639 LVZ196639 LMD196639 LCH196639 KSL196639 KIP196639 JYT196639 JOX196639 JFB196639 IVF196639 ILJ196639 IBN196639 HRR196639 HHV196639 GXZ196639 GOD196639 GEH196639 FUL196639 FKP196639 FAT196639 EQX196639 EHB196639 DXF196639 DNJ196639 DDN196639 CTR196639 CJV196639 BZZ196639 BQD196639 BGH196639 AWL196639 AMP196639 ACT196639 SX196639 JB196639 E196639 WVN131103 WLR131103 WBV131103 VRZ131103 VID131103 UYH131103 UOL131103 UEP131103 TUT131103 TKX131103 TBB131103 SRF131103 SHJ131103 RXN131103 RNR131103 RDV131103 QTZ131103 QKD131103 QAH131103 PQL131103 PGP131103 OWT131103 OMX131103 ODB131103 NTF131103 NJJ131103 MZN131103 MPR131103 MFV131103 LVZ131103 LMD131103 LCH131103 KSL131103 KIP131103 JYT131103 JOX131103 JFB131103 IVF131103 ILJ131103 IBN131103 HRR131103 HHV131103 GXZ131103 GOD131103 GEH131103 FUL131103 FKP131103 FAT131103 EQX131103 EHB131103 DXF131103 DNJ131103 DDN131103 CTR131103 CJV131103 BZZ131103 BQD131103 BGH131103 AWL131103 AMP131103 ACT131103 SX131103 JB131103 E131103 WVN65567 WLR65567 WBV65567 VRZ65567 VID65567 UYH65567 UOL65567 UEP65567 TUT65567 TKX65567 TBB65567 SRF65567 SHJ65567 RXN65567 RNR65567 RDV65567 QTZ65567 QKD65567 QAH65567 PQL65567 PGP65567 OWT65567 OMX65567 ODB65567 NTF65567 NJJ65567 MZN65567 MPR65567 MFV65567 LVZ65567 LMD65567 LCH65567 KSL65567 KIP65567 JYT65567 JOX65567 JFB65567 IVF65567 ILJ65567 IBN65567 HRR65567 HHV65567 GXZ65567 GOD65567 GEH65567 FUL65567 FKP65567 FAT65567 EQX65567 EHB65567 DXF65567 DNJ65567 DDN65567 CTR65567 CJV65567 BZZ65567 BQD65567 BGH65567 AWL65567 AMP65567 ACT65567 SX65567 JB65567 E65567 WVN32 WLR32 WBV32 VRZ32 VID32 UYH32 UOL32 UEP32 TUT32 TKX32 TBB32 SRF32 SHJ32 RXN32 RNR32 RDV32 QTZ32 QKD32 QAH32 PQL32 PGP32 OWT32 OMX32 ODB32 NTF32 NJJ32 MZN32 MPR32 MFV32 LVZ32 LMD32 LCH32 KSL32 KIP32 JYT32 JOX32 JFB32 IVF32 ILJ32 IBN32 HRR32 HHV32 GXZ32 GOD32 GEH32 FUL32 FKP32 FAT32 EQX32 EHB32 DXF32 DNJ32 DDN32 CTR32 CJV32 BZZ32 BQD32 BGH32 AWL32 AMP32 ACT32 SX32 JB32 E101 E124 E147 E170">
      <formula1>400</formula1>
      <formula2>550</formula2>
    </dataValidation>
    <dataValidation type="decimal" errorStyle="information" showInputMessage="1" showErrorMessage="1" errorTitle="Вес" error="Вес маленький" promptTitle="Вес" prompt="Вес маленький" sqref="Z78 Z9 WWI983118 WMM983118 WCQ983118 VSU983118 VIY983118 UZC983118 UPG983118 UFK983118 TVO983118 TLS983118 TBW983118 SSA983118 SIE983118 RYI983118 ROM983118 REQ983118 QUU983118 QKY983118 QBC983118 PRG983118 PHK983118 OXO983118 ONS983118 ODW983118 NUA983118 NKE983118 NAI983118 MQM983118 MGQ983118 LWU983118 LMY983118 LDC983118 KTG983118 KJK983118 JZO983118 JPS983118 JFW983118 IWA983118 IME983118 ICI983118 HSM983118 HIQ983118 GYU983118 GOY983118 GFC983118 FVG983118 FLK983118 FBO983118 ERS983118 EHW983118 DYA983118 DOE983118 DEI983118 CUM983118 CKQ983118 CAU983118 BQY983118 BHC983118 AXG983118 ANK983118 ADO983118 TS983118 JW983118 Z983118 WWI917582 WMM917582 WCQ917582 VSU917582 VIY917582 UZC917582 UPG917582 UFK917582 TVO917582 TLS917582 TBW917582 SSA917582 SIE917582 RYI917582 ROM917582 REQ917582 QUU917582 QKY917582 QBC917582 PRG917582 PHK917582 OXO917582 ONS917582 ODW917582 NUA917582 NKE917582 NAI917582 MQM917582 MGQ917582 LWU917582 LMY917582 LDC917582 KTG917582 KJK917582 JZO917582 JPS917582 JFW917582 IWA917582 IME917582 ICI917582 HSM917582 HIQ917582 GYU917582 GOY917582 GFC917582 FVG917582 FLK917582 FBO917582 ERS917582 EHW917582 DYA917582 DOE917582 DEI917582 CUM917582 CKQ917582 CAU917582 BQY917582 BHC917582 AXG917582 ANK917582 ADO917582 TS917582 JW917582 Z917582 WWI852046 WMM852046 WCQ852046 VSU852046 VIY852046 UZC852046 UPG852046 UFK852046 TVO852046 TLS852046 TBW852046 SSA852046 SIE852046 RYI852046 ROM852046 REQ852046 QUU852046 QKY852046 QBC852046 PRG852046 PHK852046 OXO852046 ONS852046 ODW852046 NUA852046 NKE852046 NAI852046 MQM852046 MGQ852046 LWU852046 LMY852046 LDC852046 KTG852046 KJK852046 JZO852046 JPS852046 JFW852046 IWA852046 IME852046 ICI852046 HSM852046 HIQ852046 GYU852046 GOY852046 GFC852046 FVG852046 FLK852046 FBO852046 ERS852046 EHW852046 DYA852046 DOE852046 DEI852046 CUM852046 CKQ852046 CAU852046 BQY852046 BHC852046 AXG852046 ANK852046 ADO852046 TS852046 JW852046 Z852046 WWI786510 WMM786510 WCQ786510 VSU786510 VIY786510 UZC786510 UPG786510 UFK786510 TVO786510 TLS786510 TBW786510 SSA786510 SIE786510 RYI786510 ROM786510 REQ786510 QUU786510 QKY786510 QBC786510 PRG786510 PHK786510 OXO786510 ONS786510 ODW786510 NUA786510 NKE786510 NAI786510 MQM786510 MGQ786510 LWU786510 LMY786510 LDC786510 KTG786510 KJK786510 JZO786510 JPS786510 JFW786510 IWA786510 IME786510 ICI786510 HSM786510 HIQ786510 GYU786510 GOY786510 GFC786510 FVG786510 FLK786510 FBO786510 ERS786510 EHW786510 DYA786510 DOE786510 DEI786510 CUM786510 CKQ786510 CAU786510 BQY786510 BHC786510 AXG786510 ANK786510 ADO786510 TS786510 JW786510 Z786510 WWI720974 WMM720974 WCQ720974 VSU720974 VIY720974 UZC720974 UPG720974 UFK720974 TVO720974 TLS720974 TBW720974 SSA720974 SIE720974 RYI720974 ROM720974 REQ720974 QUU720974 QKY720974 QBC720974 PRG720974 PHK720974 OXO720974 ONS720974 ODW720974 NUA720974 NKE720974 NAI720974 MQM720974 MGQ720974 LWU720974 LMY720974 LDC720974 KTG720974 KJK720974 JZO720974 JPS720974 JFW720974 IWA720974 IME720974 ICI720974 HSM720974 HIQ720974 GYU720974 GOY720974 GFC720974 FVG720974 FLK720974 FBO720974 ERS720974 EHW720974 DYA720974 DOE720974 DEI720974 CUM720974 CKQ720974 CAU720974 BQY720974 BHC720974 AXG720974 ANK720974 ADO720974 TS720974 JW720974 Z720974 WWI655438 WMM655438 WCQ655438 VSU655438 VIY655438 UZC655438 UPG655438 UFK655438 TVO655438 TLS655438 TBW655438 SSA655438 SIE655438 RYI655438 ROM655438 REQ655438 QUU655438 QKY655438 QBC655438 PRG655438 PHK655438 OXO655438 ONS655438 ODW655438 NUA655438 NKE655438 NAI655438 MQM655438 MGQ655438 LWU655438 LMY655438 LDC655438 KTG655438 KJK655438 JZO655438 JPS655438 JFW655438 IWA655438 IME655438 ICI655438 HSM655438 HIQ655438 GYU655438 GOY655438 GFC655438 FVG655438 FLK655438 FBO655438 ERS655438 EHW655438 DYA655438 DOE655438 DEI655438 CUM655438 CKQ655438 CAU655438 BQY655438 BHC655438 AXG655438 ANK655438 ADO655438 TS655438 JW655438 Z655438 WWI589902 WMM589902 WCQ589902 VSU589902 VIY589902 UZC589902 UPG589902 UFK589902 TVO589902 TLS589902 TBW589902 SSA589902 SIE589902 RYI589902 ROM589902 REQ589902 QUU589902 QKY589902 QBC589902 PRG589902 PHK589902 OXO589902 ONS589902 ODW589902 NUA589902 NKE589902 NAI589902 MQM589902 MGQ589902 LWU589902 LMY589902 LDC589902 KTG589902 KJK589902 JZO589902 JPS589902 JFW589902 IWA589902 IME589902 ICI589902 HSM589902 HIQ589902 GYU589902 GOY589902 GFC589902 FVG589902 FLK589902 FBO589902 ERS589902 EHW589902 DYA589902 DOE589902 DEI589902 CUM589902 CKQ589902 CAU589902 BQY589902 BHC589902 AXG589902 ANK589902 ADO589902 TS589902 JW589902 Z589902 WWI524366 WMM524366 WCQ524366 VSU524366 VIY524366 UZC524366 UPG524366 UFK524366 TVO524366 TLS524366 TBW524366 SSA524366 SIE524366 RYI524366 ROM524366 REQ524366 QUU524366 QKY524366 QBC524366 PRG524366 PHK524366 OXO524366 ONS524366 ODW524366 NUA524366 NKE524366 NAI524366 MQM524366 MGQ524366 LWU524366 LMY524366 LDC524366 KTG524366 KJK524366 JZO524366 JPS524366 JFW524366 IWA524366 IME524366 ICI524366 HSM524366 HIQ524366 GYU524366 GOY524366 GFC524366 FVG524366 FLK524366 FBO524366 ERS524366 EHW524366 DYA524366 DOE524366 DEI524366 CUM524366 CKQ524366 CAU524366 BQY524366 BHC524366 AXG524366 ANK524366 ADO524366 TS524366 JW524366 Z524366 WWI458830 WMM458830 WCQ458830 VSU458830 VIY458830 UZC458830 UPG458830 UFK458830 TVO458830 TLS458830 TBW458830 SSA458830 SIE458830 RYI458830 ROM458830 REQ458830 QUU458830 QKY458830 QBC458830 PRG458830 PHK458830 OXO458830 ONS458830 ODW458830 NUA458830 NKE458830 NAI458830 MQM458830 MGQ458830 LWU458830 LMY458830 LDC458830 KTG458830 KJK458830 JZO458830 JPS458830 JFW458830 IWA458830 IME458830 ICI458830 HSM458830 HIQ458830 GYU458830 GOY458830 GFC458830 FVG458830 FLK458830 FBO458830 ERS458830 EHW458830 DYA458830 DOE458830 DEI458830 CUM458830 CKQ458830 CAU458830 BQY458830 BHC458830 AXG458830 ANK458830 ADO458830 TS458830 JW458830 Z458830 WWI393294 WMM393294 WCQ393294 VSU393294 VIY393294 UZC393294 UPG393294 UFK393294 TVO393294 TLS393294 TBW393294 SSA393294 SIE393294 RYI393294 ROM393294 REQ393294 QUU393294 QKY393294 QBC393294 PRG393294 PHK393294 OXO393294 ONS393294 ODW393294 NUA393294 NKE393294 NAI393294 MQM393294 MGQ393294 LWU393294 LMY393294 LDC393294 KTG393294 KJK393294 JZO393294 JPS393294 JFW393294 IWA393294 IME393294 ICI393294 HSM393294 HIQ393294 GYU393294 GOY393294 GFC393294 FVG393294 FLK393294 FBO393294 ERS393294 EHW393294 DYA393294 DOE393294 DEI393294 CUM393294 CKQ393294 CAU393294 BQY393294 BHC393294 AXG393294 ANK393294 ADO393294 TS393294 JW393294 Z393294 WWI327758 WMM327758 WCQ327758 VSU327758 VIY327758 UZC327758 UPG327758 UFK327758 TVO327758 TLS327758 TBW327758 SSA327758 SIE327758 RYI327758 ROM327758 REQ327758 QUU327758 QKY327758 QBC327758 PRG327758 PHK327758 OXO327758 ONS327758 ODW327758 NUA327758 NKE327758 NAI327758 MQM327758 MGQ327758 LWU327758 LMY327758 LDC327758 KTG327758 KJK327758 JZO327758 JPS327758 JFW327758 IWA327758 IME327758 ICI327758 HSM327758 HIQ327758 GYU327758 GOY327758 GFC327758 FVG327758 FLK327758 FBO327758 ERS327758 EHW327758 DYA327758 DOE327758 DEI327758 CUM327758 CKQ327758 CAU327758 BQY327758 BHC327758 AXG327758 ANK327758 ADO327758 TS327758 JW327758 Z327758 WWI262222 WMM262222 WCQ262222 VSU262222 VIY262222 UZC262222 UPG262222 UFK262222 TVO262222 TLS262222 TBW262222 SSA262222 SIE262222 RYI262222 ROM262222 REQ262222 QUU262222 QKY262222 QBC262222 PRG262222 PHK262222 OXO262222 ONS262222 ODW262222 NUA262222 NKE262222 NAI262222 MQM262222 MGQ262222 LWU262222 LMY262222 LDC262222 KTG262222 KJK262222 JZO262222 JPS262222 JFW262222 IWA262222 IME262222 ICI262222 HSM262222 HIQ262222 GYU262222 GOY262222 GFC262222 FVG262222 FLK262222 FBO262222 ERS262222 EHW262222 DYA262222 DOE262222 DEI262222 CUM262222 CKQ262222 CAU262222 BQY262222 BHC262222 AXG262222 ANK262222 ADO262222 TS262222 JW262222 Z262222 WWI196686 WMM196686 WCQ196686 VSU196686 VIY196686 UZC196686 UPG196686 UFK196686 TVO196686 TLS196686 TBW196686 SSA196686 SIE196686 RYI196686 ROM196686 REQ196686 QUU196686 QKY196686 QBC196686 PRG196686 PHK196686 OXO196686 ONS196686 ODW196686 NUA196686 NKE196686 NAI196686 MQM196686 MGQ196686 LWU196686 LMY196686 LDC196686 KTG196686 KJK196686 JZO196686 JPS196686 JFW196686 IWA196686 IME196686 ICI196686 HSM196686 HIQ196686 GYU196686 GOY196686 GFC196686 FVG196686 FLK196686 FBO196686 ERS196686 EHW196686 DYA196686 DOE196686 DEI196686 CUM196686 CKQ196686 CAU196686 BQY196686 BHC196686 AXG196686 ANK196686 ADO196686 TS196686 JW196686 Z196686 WWI131150 WMM131150 WCQ131150 VSU131150 VIY131150 UZC131150 UPG131150 UFK131150 TVO131150 TLS131150 TBW131150 SSA131150 SIE131150 RYI131150 ROM131150 REQ131150 QUU131150 QKY131150 QBC131150 PRG131150 PHK131150 OXO131150 ONS131150 ODW131150 NUA131150 NKE131150 NAI131150 MQM131150 MGQ131150 LWU131150 LMY131150 LDC131150 KTG131150 KJK131150 JZO131150 JPS131150 JFW131150 IWA131150 IME131150 ICI131150 HSM131150 HIQ131150 GYU131150 GOY131150 GFC131150 FVG131150 FLK131150 FBO131150 ERS131150 EHW131150 DYA131150 DOE131150 DEI131150 CUM131150 CKQ131150 CAU131150 BQY131150 BHC131150 AXG131150 ANK131150 ADO131150 TS131150 JW131150 Z131150 WWI65614 WMM65614 WCQ65614 VSU65614 VIY65614 UZC65614 UPG65614 UFK65614 TVO65614 TLS65614 TBW65614 SSA65614 SIE65614 RYI65614 ROM65614 REQ65614 QUU65614 QKY65614 QBC65614 PRG65614 PHK65614 OXO65614 ONS65614 ODW65614 NUA65614 NKE65614 NAI65614 MQM65614 MGQ65614 LWU65614 LMY65614 LDC65614 KTG65614 KJK65614 JZO65614 JPS65614 JFW65614 IWA65614 IME65614 ICI65614 HSM65614 HIQ65614 GYU65614 GOY65614 GFC65614 FVG65614 FLK65614 FBO65614 ERS65614 EHW65614 DYA65614 DOE65614 DEI65614 CUM65614 CKQ65614 CAU65614 BQY65614 BHC65614 AXG65614 ANK65614 ADO65614 TS65614 JW65614 Z65614 WWI78 WMM78 WCQ78 VSU78 VIY78 UZC78 UPG78 UFK78 TVO78 TLS78 TBW78 SSA78 SIE78 RYI78 ROM78 REQ78 QUU78 QKY78 QBC78 PRG78 PHK78 OXO78 ONS78 ODW78 NUA78 NKE78 NAI78 MQM78 MGQ78 LWU78 LMY78 LDC78 KTG78 KJK78 JZO78 JPS78 JFW78 IWA78 IME78 ICI78 HSM78 HIQ78 GYU78 GOY78 GFC78 FVG78 FLK78 FBO78 ERS78 EHW78 DYA78 DOE78 DEI78 CUM78 CKQ78 CAU78 BQY78 BHC78 AXG78 ANK78 ADO78 TS78 JW78 Z32 WWI983095 WMM983095 WCQ983095 VSU983095 VIY983095 UZC983095 UPG983095 UFK983095 TVO983095 TLS983095 TBW983095 SSA983095 SIE983095 RYI983095 ROM983095 REQ983095 QUU983095 QKY983095 QBC983095 PRG983095 PHK983095 OXO983095 ONS983095 ODW983095 NUA983095 NKE983095 NAI983095 MQM983095 MGQ983095 LWU983095 LMY983095 LDC983095 KTG983095 KJK983095 JZO983095 JPS983095 JFW983095 IWA983095 IME983095 ICI983095 HSM983095 HIQ983095 GYU983095 GOY983095 GFC983095 FVG983095 FLK983095 FBO983095 ERS983095 EHW983095 DYA983095 DOE983095 DEI983095 CUM983095 CKQ983095 CAU983095 BQY983095 BHC983095 AXG983095 ANK983095 ADO983095 TS983095 JW983095 Z983095 WWI917559 WMM917559 WCQ917559 VSU917559 VIY917559 UZC917559 UPG917559 UFK917559 TVO917559 TLS917559 TBW917559 SSA917559 SIE917559 RYI917559 ROM917559 REQ917559 QUU917559 QKY917559 QBC917559 PRG917559 PHK917559 OXO917559 ONS917559 ODW917559 NUA917559 NKE917559 NAI917559 MQM917559 MGQ917559 LWU917559 LMY917559 LDC917559 KTG917559 KJK917559 JZO917559 JPS917559 JFW917559 IWA917559 IME917559 ICI917559 HSM917559 HIQ917559 GYU917559 GOY917559 GFC917559 FVG917559 FLK917559 FBO917559 ERS917559 EHW917559 DYA917559 DOE917559 DEI917559 CUM917559 CKQ917559 CAU917559 BQY917559 BHC917559 AXG917559 ANK917559 ADO917559 TS917559 JW917559 Z917559 WWI852023 WMM852023 WCQ852023 VSU852023 VIY852023 UZC852023 UPG852023 UFK852023 TVO852023 TLS852023 TBW852023 SSA852023 SIE852023 RYI852023 ROM852023 REQ852023 QUU852023 QKY852023 QBC852023 PRG852023 PHK852023 OXO852023 ONS852023 ODW852023 NUA852023 NKE852023 NAI852023 MQM852023 MGQ852023 LWU852023 LMY852023 LDC852023 KTG852023 KJK852023 JZO852023 JPS852023 JFW852023 IWA852023 IME852023 ICI852023 HSM852023 HIQ852023 GYU852023 GOY852023 GFC852023 FVG852023 FLK852023 FBO852023 ERS852023 EHW852023 DYA852023 DOE852023 DEI852023 CUM852023 CKQ852023 CAU852023 BQY852023 BHC852023 AXG852023 ANK852023 ADO852023 TS852023 JW852023 Z852023 WWI786487 WMM786487 WCQ786487 VSU786487 VIY786487 UZC786487 UPG786487 UFK786487 TVO786487 TLS786487 TBW786487 SSA786487 SIE786487 RYI786487 ROM786487 REQ786487 QUU786487 QKY786487 QBC786487 PRG786487 PHK786487 OXO786487 ONS786487 ODW786487 NUA786487 NKE786487 NAI786487 MQM786487 MGQ786487 LWU786487 LMY786487 LDC786487 KTG786487 KJK786487 JZO786487 JPS786487 JFW786487 IWA786487 IME786487 ICI786487 HSM786487 HIQ786487 GYU786487 GOY786487 GFC786487 FVG786487 FLK786487 FBO786487 ERS786487 EHW786487 DYA786487 DOE786487 DEI786487 CUM786487 CKQ786487 CAU786487 BQY786487 BHC786487 AXG786487 ANK786487 ADO786487 TS786487 JW786487 Z786487 WWI720951 WMM720951 WCQ720951 VSU720951 VIY720951 UZC720951 UPG720951 UFK720951 TVO720951 TLS720951 TBW720951 SSA720951 SIE720951 RYI720951 ROM720951 REQ720951 QUU720951 QKY720951 QBC720951 PRG720951 PHK720951 OXO720951 ONS720951 ODW720951 NUA720951 NKE720951 NAI720951 MQM720951 MGQ720951 LWU720951 LMY720951 LDC720951 KTG720951 KJK720951 JZO720951 JPS720951 JFW720951 IWA720951 IME720951 ICI720951 HSM720951 HIQ720951 GYU720951 GOY720951 GFC720951 FVG720951 FLK720951 FBO720951 ERS720951 EHW720951 DYA720951 DOE720951 DEI720951 CUM720951 CKQ720951 CAU720951 BQY720951 BHC720951 AXG720951 ANK720951 ADO720951 TS720951 JW720951 Z720951 WWI655415 WMM655415 WCQ655415 VSU655415 VIY655415 UZC655415 UPG655415 UFK655415 TVO655415 TLS655415 TBW655415 SSA655415 SIE655415 RYI655415 ROM655415 REQ655415 QUU655415 QKY655415 QBC655415 PRG655415 PHK655415 OXO655415 ONS655415 ODW655415 NUA655415 NKE655415 NAI655415 MQM655415 MGQ655415 LWU655415 LMY655415 LDC655415 KTG655415 KJK655415 JZO655415 JPS655415 JFW655415 IWA655415 IME655415 ICI655415 HSM655415 HIQ655415 GYU655415 GOY655415 GFC655415 FVG655415 FLK655415 FBO655415 ERS655415 EHW655415 DYA655415 DOE655415 DEI655415 CUM655415 CKQ655415 CAU655415 BQY655415 BHC655415 AXG655415 ANK655415 ADO655415 TS655415 JW655415 Z655415 WWI589879 WMM589879 WCQ589879 VSU589879 VIY589879 UZC589879 UPG589879 UFK589879 TVO589879 TLS589879 TBW589879 SSA589879 SIE589879 RYI589879 ROM589879 REQ589879 QUU589879 QKY589879 QBC589879 PRG589879 PHK589879 OXO589879 ONS589879 ODW589879 NUA589879 NKE589879 NAI589879 MQM589879 MGQ589879 LWU589879 LMY589879 LDC589879 KTG589879 KJK589879 JZO589879 JPS589879 JFW589879 IWA589879 IME589879 ICI589879 HSM589879 HIQ589879 GYU589879 GOY589879 GFC589879 FVG589879 FLK589879 FBO589879 ERS589879 EHW589879 DYA589879 DOE589879 DEI589879 CUM589879 CKQ589879 CAU589879 BQY589879 BHC589879 AXG589879 ANK589879 ADO589879 TS589879 JW589879 Z589879 WWI524343 WMM524343 WCQ524343 VSU524343 VIY524343 UZC524343 UPG524343 UFK524343 TVO524343 TLS524343 TBW524343 SSA524343 SIE524343 RYI524343 ROM524343 REQ524343 QUU524343 QKY524343 QBC524343 PRG524343 PHK524343 OXO524343 ONS524343 ODW524343 NUA524343 NKE524343 NAI524343 MQM524343 MGQ524343 LWU524343 LMY524343 LDC524343 KTG524343 KJK524343 JZO524343 JPS524343 JFW524343 IWA524343 IME524343 ICI524343 HSM524343 HIQ524343 GYU524343 GOY524343 GFC524343 FVG524343 FLK524343 FBO524343 ERS524343 EHW524343 DYA524343 DOE524343 DEI524343 CUM524343 CKQ524343 CAU524343 BQY524343 BHC524343 AXG524343 ANK524343 ADO524343 TS524343 JW524343 Z524343 WWI458807 WMM458807 WCQ458807 VSU458807 VIY458807 UZC458807 UPG458807 UFK458807 TVO458807 TLS458807 TBW458807 SSA458807 SIE458807 RYI458807 ROM458807 REQ458807 QUU458807 QKY458807 QBC458807 PRG458807 PHK458807 OXO458807 ONS458807 ODW458807 NUA458807 NKE458807 NAI458807 MQM458807 MGQ458807 LWU458807 LMY458807 LDC458807 KTG458807 KJK458807 JZO458807 JPS458807 JFW458807 IWA458807 IME458807 ICI458807 HSM458807 HIQ458807 GYU458807 GOY458807 GFC458807 FVG458807 FLK458807 FBO458807 ERS458807 EHW458807 DYA458807 DOE458807 DEI458807 CUM458807 CKQ458807 CAU458807 BQY458807 BHC458807 AXG458807 ANK458807 ADO458807 TS458807 JW458807 Z458807 WWI393271 WMM393271 WCQ393271 VSU393271 VIY393271 UZC393271 UPG393271 UFK393271 TVO393271 TLS393271 TBW393271 SSA393271 SIE393271 RYI393271 ROM393271 REQ393271 QUU393271 QKY393271 QBC393271 PRG393271 PHK393271 OXO393271 ONS393271 ODW393271 NUA393271 NKE393271 NAI393271 MQM393271 MGQ393271 LWU393271 LMY393271 LDC393271 KTG393271 KJK393271 JZO393271 JPS393271 JFW393271 IWA393271 IME393271 ICI393271 HSM393271 HIQ393271 GYU393271 GOY393271 GFC393271 FVG393271 FLK393271 FBO393271 ERS393271 EHW393271 DYA393271 DOE393271 DEI393271 CUM393271 CKQ393271 CAU393271 BQY393271 BHC393271 AXG393271 ANK393271 ADO393271 TS393271 JW393271 Z393271 WWI327735 WMM327735 WCQ327735 VSU327735 VIY327735 UZC327735 UPG327735 UFK327735 TVO327735 TLS327735 TBW327735 SSA327735 SIE327735 RYI327735 ROM327735 REQ327735 QUU327735 QKY327735 QBC327735 PRG327735 PHK327735 OXO327735 ONS327735 ODW327735 NUA327735 NKE327735 NAI327735 MQM327735 MGQ327735 LWU327735 LMY327735 LDC327735 KTG327735 KJK327735 JZO327735 JPS327735 JFW327735 IWA327735 IME327735 ICI327735 HSM327735 HIQ327735 GYU327735 GOY327735 GFC327735 FVG327735 FLK327735 FBO327735 ERS327735 EHW327735 DYA327735 DOE327735 DEI327735 CUM327735 CKQ327735 CAU327735 BQY327735 BHC327735 AXG327735 ANK327735 ADO327735 TS327735 JW327735 Z327735 WWI262199 WMM262199 WCQ262199 VSU262199 VIY262199 UZC262199 UPG262199 UFK262199 TVO262199 TLS262199 TBW262199 SSA262199 SIE262199 RYI262199 ROM262199 REQ262199 QUU262199 QKY262199 QBC262199 PRG262199 PHK262199 OXO262199 ONS262199 ODW262199 NUA262199 NKE262199 NAI262199 MQM262199 MGQ262199 LWU262199 LMY262199 LDC262199 KTG262199 KJK262199 JZO262199 JPS262199 JFW262199 IWA262199 IME262199 ICI262199 HSM262199 HIQ262199 GYU262199 GOY262199 GFC262199 FVG262199 FLK262199 FBO262199 ERS262199 EHW262199 DYA262199 DOE262199 DEI262199 CUM262199 CKQ262199 CAU262199 BQY262199 BHC262199 AXG262199 ANK262199 ADO262199 TS262199 JW262199 Z262199 WWI196663 WMM196663 WCQ196663 VSU196663 VIY196663 UZC196663 UPG196663 UFK196663 TVO196663 TLS196663 TBW196663 SSA196663 SIE196663 RYI196663 ROM196663 REQ196663 QUU196663 QKY196663 QBC196663 PRG196663 PHK196663 OXO196663 ONS196663 ODW196663 NUA196663 NKE196663 NAI196663 MQM196663 MGQ196663 LWU196663 LMY196663 LDC196663 KTG196663 KJK196663 JZO196663 JPS196663 JFW196663 IWA196663 IME196663 ICI196663 HSM196663 HIQ196663 GYU196663 GOY196663 GFC196663 FVG196663 FLK196663 FBO196663 ERS196663 EHW196663 DYA196663 DOE196663 DEI196663 CUM196663 CKQ196663 CAU196663 BQY196663 BHC196663 AXG196663 ANK196663 ADO196663 TS196663 JW196663 Z196663 WWI131127 WMM131127 WCQ131127 VSU131127 VIY131127 UZC131127 UPG131127 UFK131127 TVO131127 TLS131127 TBW131127 SSA131127 SIE131127 RYI131127 ROM131127 REQ131127 QUU131127 QKY131127 QBC131127 PRG131127 PHK131127 OXO131127 ONS131127 ODW131127 NUA131127 NKE131127 NAI131127 MQM131127 MGQ131127 LWU131127 LMY131127 LDC131127 KTG131127 KJK131127 JZO131127 JPS131127 JFW131127 IWA131127 IME131127 ICI131127 HSM131127 HIQ131127 GYU131127 GOY131127 GFC131127 FVG131127 FLK131127 FBO131127 ERS131127 EHW131127 DYA131127 DOE131127 DEI131127 CUM131127 CKQ131127 CAU131127 BQY131127 BHC131127 AXG131127 ANK131127 ADO131127 TS131127 JW131127 Z131127 WWI65591 WMM65591 WCQ65591 VSU65591 VIY65591 UZC65591 UPG65591 UFK65591 TVO65591 TLS65591 TBW65591 SSA65591 SIE65591 RYI65591 ROM65591 REQ65591 QUU65591 QKY65591 QBC65591 PRG65591 PHK65591 OXO65591 ONS65591 ODW65591 NUA65591 NKE65591 NAI65591 MQM65591 MGQ65591 LWU65591 LMY65591 LDC65591 KTG65591 KJK65591 JZO65591 JPS65591 JFW65591 IWA65591 IME65591 ICI65591 HSM65591 HIQ65591 GYU65591 GOY65591 GFC65591 FVG65591 FLK65591 FBO65591 ERS65591 EHW65591 DYA65591 DOE65591 DEI65591 CUM65591 CKQ65591 CAU65591 BQY65591 BHC65591 AXG65591 ANK65591 ADO65591 TS65591 JW65591 Z65591 WWI55 WMM55 WCQ55 VSU55 VIY55 UZC55 UPG55 UFK55 TVO55 TLS55 TBW55 SSA55 SIE55 RYI55 ROM55 REQ55 QUU55 QKY55 QBC55 PRG55 PHK55 OXO55 ONS55 ODW55 NUA55 NKE55 NAI55 MQM55 MGQ55 LWU55 LMY55 LDC55 KTG55 KJK55 JZO55 JPS55 JFW55 IWA55 IME55 ICI55 HSM55 HIQ55 GYU55 GOY55 GFC55 FVG55 FLK55 FBO55 ERS55 EHW55 DYA55 DOE55 DEI55 CUM55 CKQ55 CAU55 BQY55 BHC55 AXG55 ANK55 ADO55 TS55 JW55 Z55 WWI983071 WMM983071 WCQ983071 VSU983071 VIY983071 UZC983071 UPG983071 UFK983071 TVO983071 TLS983071 TBW983071 SSA983071 SIE983071 RYI983071 ROM983071 REQ983071 QUU983071 QKY983071 QBC983071 PRG983071 PHK983071 OXO983071 ONS983071 ODW983071 NUA983071 NKE983071 NAI983071 MQM983071 MGQ983071 LWU983071 LMY983071 LDC983071 KTG983071 KJK983071 JZO983071 JPS983071 JFW983071 IWA983071 IME983071 ICI983071 HSM983071 HIQ983071 GYU983071 GOY983071 GFC983071 FVG983071 FLK983071 FBO983071 ERS983071 EHW983071 DYA983071 DOE983071 DEI983071 CUM983071 CKQ983071 CAU983071 BQY983071 BHC983071 AXG983071 ANK983071 ADO983071 TS983071 JW983071 Z983071 WWI917535 WMM917535 WCQ917535 VSU917535 VIY917535 UZC917535 UPG917535 UFK917535 TVO917535 TLS917535 TBW917535 SSA917535 SIE917535 RYI917535 ROM917535 REQ917535 QUU917535 QKY917535 QBC917535 PRG917535 PHK917535 OXO917535 ONS917535 ODW917535 NUA917535 NKE917535 NAI917535 MQM917535 MGQ917535 LWU917535 LMY917535 LDC917535 KTG917535 KJK917535 JZO917535 JPS917535 JFW917535 IWA917535 IME917535 ICI917535 HSM917535 HIQ917535 GYU917535 GOY917535 GFC917535 FVG917535 FLK917535 FBO917535 ERS917535 EHW917535 DYA917535 DOE917535 DEI917535 CUM917535 CKQ917535 CAU917535 BQY917535 BHC917535 AXG917535 ANK917535 ADO917535 TS917535 JW917535 Z917535 WWI851999 WMM851999 WCQ851999 VSU851999 VIY851999 UZC851999 UPG851999 UFK851999 TVO851999 TLS851999 TBW851999 SSA851999 SIE851999 RYI851999 ROM851999 REQ851999 QUU851999 QKY851999 QBC851999 PRG851999 PHK851999 OXO851999 ONS851999 ODW851999 NUA851999 NKE851999 NAI851999 MQM851999 MGQ851999 LWU851999 LMY851999 LDC851999 KTG851999 KJK851999 JZO851999 JPS851999 JFW851999 IWA851999 IME851999 ICI851999 HSM851999 HIQ851999 GYU851999 GOY851999 GFC851999 FVG851999 FLK851999 FBO851999 ERS851999 EHW851999 DYA851999 DOE851999 DEI851999 CUM851999 CKQ851999 CAU851999 BQY851999 BHC851999 AXG851999 ANK851999 ADO851999 TS851999 JW851999 Z851999 WWI786463 WMM786463 WCQ786463 VSU786463 VIY786463 UZC786463 UPG786463 UFK786463 TVO786463 TLS786463 TBW786463 SSA786463 SIE786463 RYI786463 ROM786463 REQ786463 QUU786463 QKY786463 QBC786463 PRG786463 PHK786463 OXO786463 ONS786463 ODW786463 NUA786463 NKE786463 NAI786463 MQM786463 MGQ786463 LWU786463 LMY786463 LDC786463 KTG786463 KJK786463 JZO786463 JPS786463 JFW786463 IWA786463 IME786463 ICI786463 HSM786463 HIQ786463 GYU786463 GOY786463 GFC786463 FVG786463 FLK786463 FBO786463 ERS786463 EHW786463 DYA786463 DOE786463 DEI786463 CUM786463 CKQ786463 CAU786463 BQY786463 BHC786463 AXG786463 ANK786463 ADO786463 TS786463 JW786463 Z786463 WWI720927 WMM720927 WCQ720927 VSU720927 VIY720927 UZC720927 UPG720927 UFK720927 TVO720927 TLS720927 TBW720927 SSA720927 SIE720927 RYI720927 ROM720927 REQ720927 QUU720927 QKY720927 QBC720927 PRG720927 PHK720927 OXO720927 ONS720927 ODW720927 NUA720927 NKE720927 NAI720927 MQM720927 MGQ720927 LWU720927 LMY720927 LDC720927 KTG720927 KJK720927 JZO720927 JPS720927 JFW720927 IWA720927 IME720927 ICI720927 HSM720927 HIQ720927 GYU720927 GOY720927 GFC720927 FVG720927 FLK720927 FBO720927 ERS720927 EHW720927 DYA720927 DOE720927 DEI720927 CUM720927 CKQ720927 CAU720927 BQY720927 BHC720927 AXG720927 ANK720927 ADO720927 TS720927 JW720927 Z720927 WWI655391 WMM655391 WCQ655391 VSU655391 VIY655391 UZC655391 UPG655391 UFK655391 TVO655391 TLS655391 TBW655391 SSA655391 SIE655391 RYI655391 ROM655391 REQ655391 QUU655391 QKY655391 QBC655391 PRG655391 PHK655391 OXO655391 ONS655391 ODW655391 NUA655391 NKE655391 NAI655391 MQM655391 MGQ655391 LWU655391 LMY655391 LDC655391 KTG655391 KJK655391 JZO655391 JPS655391 JFW655391 IWA655391 IME655391 ICI655391 HSM655391 HIQ655391 GYU655391 GOY655391 GFC655391 FVG655391 FLK655391 FBO655391 ERS655391 EHW655391 DYA655391 DOE655391 DEI655391 CUM655391 CKQ655391 CAU655391 BQY655391 BHC655391 AXG655391 ANK655391 ADO655391 TS655391 JW655391 Z655391 WWI589855 WMM589855 WCQ589855 VSU589855 VIY589855 UZC589855 UPG589855 UFK589855 TVO589855 TLS589855 TBW589855 SSA589855 SIE589855 RYI589855 ROM589855 REQ589855 QUU589855 QKY589855 QBC589855 PRG589855 PHK589855 OXO589855 ONS589855 ODW589855 NUA589855 NKE589855 NAI589855 MQM589855 MGQ589855 LWU589855 LMY589855 LDC589855 KTG589855 KJK589855 JZO589855 JPS589855 JFW589855 IWA589855 IME589855 ICI589855 HSM589855 HIQ589855 GYU589855 GOY589855 GFC589855 FVG589855 FLK589855 FBO589855 ERS589855 EHW589855 DYA589855 DOE589855 DEI589855 CUM589855 CKQ589855 CAU589855 BQY589855 BHC589855 AXG589855 ANK589855 ADO589855 TS589855 JW589855 Z589855 WWI524319 WMM524319 WCQ524319 VSU524319 VIY524319 UZC524319 UPG524319 UFK524319 TVO524319 TLS524319 TBW524319 SSA524319 SIE524319 RYI524319 ROM524319 REQ524319 QUU524319 QKY524319 QBC524319 PRG524319 PHK524319 OXO524319 ONS524319 ODW524319 NUA524319 NKE524319 NAI524319 MQM524319 MGQ524319 LWU524319 LMY524319 LDC524319 KTG524319 KJK524319 JZO524319 JPS524319 JFW524319 IWA524319 IME524319 ICI524319 HSM524319 HIQ524319 GYU524319 GOY524319 GFC524319 FVG524319 FLK524319 FBO524319 ERS524319 EHW524319 DYA524319 DOE524319 DEI524319 CUM524319 CKQ524319 CAU524319 BQY524319 BHC524319 AXG524319 ANK524319 ADO524319 TS524319 JW524319 Z524319 WWI458783 WMM458783 WCQ458783 VSU458783 VIY458783 UZC458783 UPG458783 UFK458783 TVO458783 TLS458783 TBW458783 SSA458783 SIE458783 RYI458783 ROM458783 REQ458783 QUU458783 QKY458783 QBC458783 PRG458783 PHK458783 OXO458783 ONS458783 ODW458783 NUA458783 NKE458783 NAI458783 MQM458783 MGQ458783 LWU458783 LMY458783 LDC458783 KTG458783 KJK458783 JZO458783 JPS458783 JFW458783 IWA458783 IME458783 ICI458783 HSM458783 HIQ458783 GYU458783 GOY458783 GFC458783 FVG458783 FLK458783 FBO458783 ERS458783 EHW458783 DYA458783 DOE458783 DEI458783 CUM458783 CKQ458783 CAU458783 BQY458783 BHC458783 AXG458783 ANK458783 ADO458783 TS458783 JW458783 Z458783 WWI393247 WMM393247 WCQ393247 VSU393247 VIY393247 UZC393247 UPG393247 UFK393247 TVO393247 TLS393247 TBW393247 SSA393247 SIE393247 RYI393247 ROM393247 REQ393247 QUU393247 QKY393247 QBC393247 PRG393247 PHK393247 OXO393247 ONS393247 ODW393247 NUA393247 NKE393247 NAI393247 MQM393247 MGQ393247 LWU393247 LMY393247 LDC393247 KTG393247 KJK393247 JZO393247 JPS393247 JFW393247 IWA393247 IME393247 ICI393247 HSM393247 HIQ393247 GYU393247 GOY393247 GFC393247 FVG393247 FLK393247 FBO393247 ERS393247 EHW393247 DYA393247 DOE393247 DEI393247 CUM393247 CKQ393247 CAU393247 BQY393247 BHC393247 AXG393247 ANK393247 ADO393247 TS393247 JW393247 Z393247 WWI327711 WMM327711 WCQ327711 VSU327711 VIY327711 UZC327711 UPG327711 UFK327711 TVO327711 TLS327711 TBW327711 SSA327711 SIE327711 RYI327711 ROM327711 REQ327711 QUU327711 QKY327711 QBC327711 PRG327711 PHK327711 OXO327711 ONS327711 ODW327711 NUA327711 NKE327711 NAI327711 MQM327711 MGQ327711 LWU327711 LMY327711 LDC327711 KTG327711 KJK327711 JZO327711 JPS327711 JFW327711 IWA327711 IME327711 ICI327711 HSM327711 HIQ327711 GYU327711 GOY327711 GFC327711 FVG327711 FLK327711 FBO327711 ERS327711 EHW327711 DYA327711 DOE327711 DEI327711 CUM327711 CKQ327711 CAU327711 BQY327711 BHC327711 AXG327711 ANK327711 ADO327711 TS327711 JW327711 Z327711 WWI262175 WMM262175 WCQ262175 VSU262175 VIY262175 UZC262175 UPG262175 UFK262175 TVO262175 TLS262175 TBW262175 SSA262175 SIE262175 RYI262175 ROM262175 REQ262175 QUU262175 QKY262175 QBC262175 PRG262175 PHK262175 OXO262175 ONS262175 ODW262175 NUA262175 NKE262175 NAI262175 MQM262175 MGQ262175 LWU262175 LMY262175 LDC262175 KTG262175 KJK262175 JZO262175 JPS262175 JFW262175 IWA262175 IME262175 ICI262175 HSM262175 HIQ262175 GYU262175 GOY262175 GFC262175 FVG262175 FLK262175 FBO262175 ERS262175 EHW262175 DYA262175 DOE262175 DEI262175 CUM262175 CKQ262175 CAU262175 BQY262175 BHC262175 AXG262175 ANK262175 ADO262175 TS262175 JW262175 Z262175 WWI196639 WMM196639 WCQ196639 VSU196639 VIY196639 UZC196639 UPG196639 UFK196639 TVO196639 TLS196639 TBW196639 SSA196639 SIE196639 RYI196639 ROM196639 REQ196639 QUU196639 QKY196639 QBC196639 PRG196639 PHK196639 OXO196639 ONS196639 ODW196639 NUA196639 NKE196639 NAI196639 MQM196639 MGQ196639 LWU196639 LMY196639 LDC196639 KTG196639 KJK196639 JZO196639 JPS196639 JFW196639 IWA196639 IME196639 ICI196639 HSM196639 HIQ196639 GYU196639 GOY196639 GFC196639 FVG196639 FLK196639 FBO196639 ERS196639 EHW196639 DYA196639 DOE196639 DEI196639 CUM196639 CKQ196639 CAU196639 BQY196639 BHC196639 AXG196639 ANK196639 ADO196639 TS196639 JW196639 Z196639 WWI131103 WMM131103 WCQ131103 VSU131103 VIY131103 UZC131103 UPG131103 UFK131103 TVO131103 TLS131103 TBW131103 SSA131103 SIE131103 RYI131103 ROM131103 REQ131103 QUU131103 QKY131103 QBC131103 PRG131103 PHK131103 OXO131103 ONS131103 ODW131103 NUA131103 NKE131103 NAI131103 MQM131103 MGQ131103 LWU131103 LMY131103 LDC131103 KTG131103 KJK131103 JZO131103 JPS131103 JFW131103 IWA131103 IME131103 ICI131103 HSM131103 HIQ131103 GYU131103 GOY131103 GFC131103 FVG131103 FLK131103 FBO131103 ERS131103 EHW131103 DYA131103 DOE131103 DEI131103 CUM131103 CKQ131103 CAU131103 BQY131103 BHC131103 AXG131103 ANK131103 ADO131103 TS131103 JW131103 Z131103 WWI65567 WMM65567 WCQ65567 VSU65567 VIY65567 UZC65567 UPG65567 UFK65567 TVO65567 TLS65567 TBW65567 SSA65567 SIE65567 RYI65567 ROM65567 REQ65567 QUU65567 QKY65567 QBC65567 PRG65567 PHK65567 OXO65567 ONS65567 ODW65567 NUA65567 NKE65567 NAI65567 MQM65567 MGQ65567 LWU65567 LMY65567 LDC65567 KTG65567 KJK65567 JZO65567 JPS65567 JFW65567 IWA65567 IME65567 ICI65567 HSM65567 HIQ65567 GYU65567 GOY65567 GFC65567 FVG65567 FLK65567 FBO65567 ERS65567 EHW65567 DYA65567 DOE65567 DEI65567 CUM65567 CKQ65567 CAU65567 BQY65567 BHC65567 AXG65567 ANK65567 ADO65567 TS65567 JW65567 Z65567 WWI32 WMM32 WCQ32 VSU32 VIY32 UZC32 UPG32 UFK32 TVO32 TLS32 TBW32 SSA32 SIE32 RYI32 ROM32 REQ32 QUU32 QKY32 QBC32 PRG32 PHK32 OXO32 ONS32 ODW32 NUA32 NKE32 NAI32 MQM32 MGQ32 LWU32 LMY32 LDC32 KTG32 KJK32 JZO32 JPS32 JFW32 IWA32 IME32 ICI32 HSM32 HIQ32 GYU32 GOY32 GFC32 FVG32 FLK32 FBO32 ERS32 EHW32 DYA32 DOE32 DEI32 CUM32 CKQ32 CAU32 BQY32 BHC32 AXG32 ANK32 ADO32 TS32 JW32 Z101 Z124 Z147 Z170">
      <formula1>450</formula1>
      <formula2>600</formula2>
    </dataValidation>
  </dataValidations>
  <hyperlinks>
    <hyperlink ref="AI20:AJ20" location="начало!A1" display="Переход на начальную страницу"/>
    <hyperlink ref="AI43:AJ43" location="начало!A1" display="Переход на начальную страницу"/>
    <hyperlink ref="AI66:AJ66" location="начало!A1" display="Переход на начальную страницу"/>
    <hyperlink ref="AI89:AJ89" location="начало!A1" display="Переход на начальную страницу"/>
    <hyperlink ref="AI112:AJ112" location="начало!A1" display="Переход на начальную страницу"/>
    <hyperlink ref="AI135:AJ135" location="начало!A1" display="Переход на начальную страницу"/>
    <hyperlink ref="AI158:AJ158" location="начало!A1" display="Переход на начальную страницу"/>
    <hyperlink ref="AI181:AJ181" location="начало!A1" display="Переход на начальную страницу"/>
  </hyperlinks>
  <printOptions horizontalCentered="1"/>
  <pageMargins left="0.11811023622047245" right="0.11811023622047245" top="0.15748031496062992" bottom="0.74803149606299213" header="0.31496062992125984" footer="0.31496062992125984"/>
  <pageSetup paperSize="9" scale="72" orientation="landscape" r:id="rId1"/>
  <rowBreaks count="3" manualBreakCount="3">
    <brk id="45" max="29" man="1"/>
    <brk id="91" max="29" man="1"/>
    <brk id="137" max="2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P122"/>
  <sheetViews>
    <sheetView view="pageLayout" topLeftCell="A2" zoomScaleNormal="100" zoomScaleSheetLayoutView="100" workbookViewId="0">
      <selection activeCell="J7" sqref="J7"/>
    </sheetView>
  </sheetViews>
  <sheetFormatPr defaultRowHeight="11.25"/>
  <cols>
    <col min="1" max="1" width="21.28515625" style="1353" customWidth="1"/>
    <col min="2" max="2" width="7.28515625" style="1340" customWidth="1"/>
    <col min="3" max="4" width="7.5703125" style="1340" hidden="1" customWidth="1"/>
    <col min="5" max="5" width="7.85546875" style="1340" customWidth="1"/>
    <col min="6" max="6" width="7.85546875" style="1341" customWidth="1"/>
    <col min="7" max="7" width="7.85546875" style="1342" customWidth="1"/>
    <col min="8" max="8" width="7.85546875" style="1340" customWidth="1"/>
    <col min="9" max="9" width="7.85546875" style="1341" customWidth="1"/>
    <col min="10" max="10" width="7.85546875" style="1340" customWidth="1"/>
    <col min="11" max="13" width="7.85546875" style="1340" hidden="1" customWidth="1"/>
    <col min="14" max="14" width="10.42578125" style="1343" customWidth="1"/>
    <col min="15" max="15" width="6.28515625" style="1340" hidden="1" customWidth="1"/>
    <col min="16" max="23" width="6.28515625" style="1340" customWidth="1"/>
    <col min="24" max="246" width="9.140625" style="1340"/>
    <col min="247" max="247" width="16.7109375" style="1340" bestFit="1" customWidth="1"/>
    <col min="248" max="248" width="8.28515625" style="1340" customWidth="1"/>
    <col min="249" max="249" width="6.28515625" style="1340" customWidth="1"/>
    <col min="250" max="250" width="7" style="1340" customWidth="1"/>
    <col min="251" max="252" width="6.28515625" style="1340" customWidth="1"/>
    <col min="253" max="253" width="7.140625" style="1340" customWidth="1"/>
    <col min="254" max="268" width="6.28515625" style="1340" customWidth="1"/>
    <col min="269" max="269" width="8.85546875" style="1340" customWidth="1"/>
    <col min="270" max="270" width="9" style="1340" customWidth="1"/>
    <col min="271" max="279" width="6.28515625" style="1340" customWidth="1"/>
    <col min="280" max="502" width="9.140625" style="1340"/>
    <col min="503" max="503" width="16.7109375" style="1340" bestFit="1" customWidth="1"/>
    <col min="504" max="504" width="8.28515625" style="1340" customWidth="1"/>
    <col min="505" max="505" width="6.28515625" style="1340" customWidth="1"/>
    <col min="506" max="506" width="7" style="1340" customWidth="1"/>
    <col min="507" max="508" width="6.28515625" style="1340" customWidth="1"/>
    <col min="509" max="509" width="7.140625" style="1340" customWidth="1"/>
    <col min="510" max="524" width="6.28515625" style="1340" customWidth="1"/>
    <col min="525" max="525" width="8.85546875" style="1340" customWidth="1"/>
    <col min="526" max="526" width="9" style="1340" customWidth="1"/>
    <col min="527" max="535" width="6.28515625" style="1340" customWidth="1"/>
    <col min="536" max="758" width="9.140625" style="1340"/>
    <col min="759" max="759" width="16.7109375" style="1340" bestFit="1" customWidth="1"/>
    <col min="760" max="760" width="8.28515625" style="1340" customWidth="1"/>
    <col min="761" max="761" width="6.28515625" style="1340" customWidth="1"/>
    <col min="762" max="762" width="7" style="1340" customWidth="1"/>
    <col min="763" max="764" width="6.28515625" style="1340" customWidth="1"/>
    <col min="765" max="765" width="7.140625" style="1340" customWidth="1"/>
    <col min="766" max="780" width="6.28515625" style="1340" customWidth="1"/>
    <col min="781" max="781" width="8.85546875" style="1340" customWidth="1"/>
    <col min="782" max="782" width="9" style="1340" customWidth="1"/>
    <col min="783" max="791" width="6.28515625" style="1340" customWidth="1"/>
    <col min="792" max="1014" width="9.140625" style="1340"/>
    <col min="1015" max="1015" width="16.7109375" style="1340" bestFit="1" customWidth="1"/>
    <col min="1016" max="1016" width="8.28515625" style="1340" customWidth="1"/>
    <col min="1017" max="1017" width="6.28515625" style="1340" customWidth="1"/>
    <col min="1018" max="1018" width="7" style="1340" customWidth="1"/>
    <col min="1019" max="1020" width="6.28515625" style="1340" customWidth="1"/>
    <col min="1021" max="1021" width="7.140625" style="1340" customWidth="1"/>
    <col min="1022" max="1036" width="6.28515625" style="1340" customWidth="1"/>
    <col min="1037" max="1037" width="8.85546875" style="1340" customWidth="1"/>
    <col min="1038" max="1038" width="9" style="1340" customWidth="1"/>
    <col min="1039" max="1047" width="6.28515625" style="1340" customWidth="1"/>
    <col min="1048" max="1270" width="9.140625" style="1340"/>
    <col min="1271" max="1271" width="16.7109375" style="1340" bestFit="1" customWidth="1"/>
    <col min="1272" max="1272" width="8.28515625" style="1340" customWidth="1"/>
    <col min="1273" max="1273" width="6.28515625" style="1340" customWidth="1"/>
    <col min="1274" max="1274" width="7" style="1340" customWidth="1"/>
    <col min="1275" max="1276" width="6.28515625" style="1340" customWidth="1"/>
    <col min="1277" max="1277" width="7.140625" style="1340" customWidth="1"/>
    <col min="1278" max="1292" width="6.28515625" style="1340" customWidth="1"/>
    <col min="1293" max="1293" width="8.85546875" style="1340" customWidth="1"/>
    <col min="1294" max="1294" width="9" style="1340" customWidth="1"/>
    <col min="1295" max="1303" width="6.28515625" style="1340" customWidth="1"/>
    <col min="1304" max="1526" width="9.140625" style="1340"/>
    <col min="1527" max="1527" width="16.7109375" style="1340" bestFit="1" customWidth="1"/>
    <col min="1528" max="1528" width="8.28515625" style="1340" customWidth="1"/>
    <col min="1529" max="1529" width="6.28515625" style="1340" customWidth="1"/>
    <col min="1530" max="1530" width="7" style="1340" customWidth="1"/>
    <col min="1531" max="1532" width="6.28515625" style="1340" customWidth="1"/>
    <col min="1533" max="1533" width="7.140625" style="1340" customWidth="1"/>
    <col min="1534" max="1548" width="6.28515625" style="1340" customWidth="1"/>
    <col min="1549" max="1549" width="8.85546875" style="1340" customWidth="1"/>
    <col min="1550" max="1550" width="9" style="1340" customWidth="1"/>
    <col min="1551" max="1559" width="6.28515625" style="1340" customWidth="1"/>
    <col min="1560" max="1782" width="9.140625" style="1340"/>
    <col min="1783" max="1783" width="16.7109375" style="1340" bestFit="1" customWidth="1"/>
    <col min="1784" max="1784" width="8.28515625" style="1340" customWidth="1"/>
    <col min="1785" max="1785" width="6.28515625" style="1340" customWidth="1"/>
    <col min="1786" max="1786" width="7" style="1340" customWidth="1"/>
    <col min="1787" max="1788" width="6.28515625" style="1340" customWidth="1"/>
    <col min="1789" max="1789" width="7.140625" style="1340" customWidth="1"/>
    <col min="1790" max="1804" width="6.28515625" style="1340" customWidth="1"/>
    <col min="1805" max="1805" width="8.85546875" style="1340" customWidth="1"/>
    <col min="1806" max="1806" width="9" style="1340" customWidth="1"/>
    <col min="1807" max="1815" width="6.28515625" style="1340" customWidth="1"/>
    <col min="1816" max="2038" width="9.140625" style="1340"/>
    <col min="2039" max="2039" width="16.7109375" style="1340" bestFit="1" customWidth="1"/>
    <col min="2040" max="2040" width="8.28515625" style="1340" customWidth="1"/>
    <col min="2041" max="2041" width="6.28515625" style="1340" customWidth="1"/>
    <col min="2042" max="2042" width="7" style="1340" customWidth="1"/>
    <col min="2043" max="2044" width="6.28515625" style="1340" customWidth="1"/>
    <col min="2045" max="2045" width="7.140625" style="1340" customWidth="1"/>
    <col min="2046" max="2060" width="6.28515625" style="1340" customWidth="1"/>
    <col min="2061" max="2061" width="8.85546875" style="1340" customWidth="1"/>
    <col min="2062" max="2062" width="9" style="1340" customWidth="1"/>
    <col min="2063" max="2071" width="6.28515625" style="1340" customWidth="1"/>
    <col min="2072" max="2294" width="9.140625" style="1340"/>
    <col min="2295" max="2295" width="16.7109375" style="1340" bestFit="1" customWidth="1"/>
    <col min="2296" max="2296" width="8.28515625" style="1340" customWidth="1"/>
    <col min="2297" max="2297" width="6.28515625" style="1340" customWidth="1"/>
    <col min="2298" max="2298" width="7" style="1340" customWidth="1"/>
    <col min="2299" max="2300" width="6.28515625" style="1340" customWidth="1"/>
    <col min="2301" max="2301" width="7.140625" style="1340" customWidth="1"/>
    <col min="2302" max="2316" width="6.28515625" style="1340" customWidth="1"/>
    <col min="2317" max="2317" width="8.85546875" style="1340" customWidth="1"/>
    <col min="2318" max="2318" width="9" style="1340" customWidth="1"/>
    <col min="2319" max="2327" width="6.28515625" style="1340" customWidth="1"/>
    <col min="2328" max="2550" width="9.140625" style="1340"/>
    <col min="2551" max="2551" width="16.7109375" style="1340" bestFit="1" customWidth="1"/>
    <col min="2552" max="2552" width="8.28515625" style="1340" customWidth="1"/>
    <col min="2553" max="2553" width="6.28515625" style="1340" customWidth="1"/>
    <col min="2554" max="2554" width="7" style="1340" customWidth="1"/>
    <col min="2555" max="2556" width="6.28515625" style="1340" customWidth="1"/>
    <col min="2557" max="2557" width="7.140625" style="1340" customWidth="1"/>
    <col min="2558" max="2572" width="6.28515625" style="1340" customWidth="1"/>
    <col min="2573" max="2573" width="8.85546875" style="1340" customWidth="1"/>
    <col min="2574" max="2574" width="9" style="1340" customWidth="1"/>
    <col min="2575" max="2583" width="6.28515625" style="1340" customWidth="1"/>
    <col min="2584" max="2806" width="9.140625" style="1340"/>
    <col min="2807" max="2807" width="16.7109375" style="1340" bestFit="1" customWidth="1"/>
    <col min="2808" max="2808" width="8.28515625" style="1340" customWidth="1"/>
    <col min="2809" max="2809" width="6.28515625" style="1340" customWidth="1"/>
    <col min="2810" max="2810" width="7" style="1340" customWidth="1"/>
    <col min="2811" max="2812" width="6.28515625" style="1340" customWidth="1"/>
    <col min="2813" max="2813" width="7.140625" style="1340" customWidth="1"/>
    <col min="2814" max="2828" width="6.28515625" style="1340" customWidth="1"/>
    <col min="2829" max="2829" width="8.85546875" style="1340" customWidth="1"/>
    <col min="2830" max="2830" width="9" style="1340" customWidth="1"/>
    <col min="2831" max="2839" width="6.28515625" style="1340" customWidth="1"/>
    <col min="2840" max="3062" width="9.140625" style="1340"/>
    <col min="3063" max="3063" width="16.7109375" style="1340" bestFit="1" customWidth="1"/>
    <col min="3064" max="3064" width="8.28515625" style="1340" customWidth="1"/>
    <col min="3065" max="3065" width="6.28515625" style="1340" customWidth="1"/>
    <col min="3066" max="3066" width="7" style="1340" customWidth="1"/>
    <col min="3067" max="3068" width="6.28515625" style="1340" customWidth="1"/>
    <col min="3069" max="3069" width="7.140625" style="1340" customWidth="1"/>
    <col min="3070" max="3084" width="6.28515625" style="1340" customWidth="1"/>
    <col min="3085" max="3085" width="8.85546875" style="1340" customWidth="1"/>
    <col min="3086" max="3086" width="9" style="1340" customWidth="1"/>
    <col min="3087" max="3095" width="6.28515625" style="1340" customWidth="1"/>
    <col min="3096" max="3318" width="9.140625" style="1340"/>
    <col min="3319" max="3319" width="16.7109375" style="1340" bestFit="1" customWidth="1"/>
    <col min="3320" max="3320" width="8.28515625" style="1340" customWidth="1"/>
    <col min="3321" max="3321" width="6.28515625" style="1340" customWidth="1"/>
    <col min="3322" max="3322" width="7" style="1340" customWidth="1"/>
    <col min="3323" max="3324" width="6.28515625" style="1340" customWidth="1"/>
    <col min="3325" max="3325" width="7.140625" style="1340" customWidth="1"/>
    <col min="3326" max="3340" width="6.28515625" style="1340" customWidth="1"/>
    <col min="3341" max="3341" width="8.85546875" style="1340" customWidth="1"/>
    <col min="3342" max="3342" width="9" style="1340" customWidth="1"/>
    <col min="3343" max="3351" width="6.28515625" style="1340" customWidth="1"/>
    <col min="3352" max="3574" width="9.140625" style="1340"/>
    <col min="3575" max="3575" width="16.7109375" style="1340" bestFit="1" customWidth="1"/>
    <col min="3576" max="3576" width="8.28515625" style="1340" customWidth="1"/>
    <col min="3577" max="3577" width="6.28515625" style="1340" customWidth="1"/>
    <col min="3578" max="3578" width="7" style="1340" customWidth="1"/>
    <col min="3579" max="3580" width="6.28515625" style="1340" customWidth="1"/>
    <col min="3581" max="3581" width="7.140625" style="1340" customWidth="1"/>
    <col min="3582" max="3596" width="6.28515625" style="1340" customWidth="1"/>
    <col min="3597" max="3597" width="8.85546875" style="1340" customWidth="1"/>
    <col min="3598" max="3598" width="9" style="1340" customWidth="1"/>
    <col min="3599" max="3607" width="6.28515625" style="1340" customWidth="1"/>
    <col min="3608" max="3830" width="9.140625" style="1340"/>
    <col min="3831" max="3831" width="16.7109375" style="1340" bestFit="1" customWidth="1"/>
    <col min="3832" max="3832" width="8.28515625" style="1340" customWidth="1"/>
    <col min="3833" max="3833" width="6.28515625" style="1340" customWidth="1"/>
    <col min="3834" max="3834" width="7" style="1340" customWidth="1"/>
    <col min="3835" max="3836" width="6.28515625" style="1340" customWidth="1"/>
    <col min="3837" max="3837" width="7.140625" style="1340" customWidth="1"/>
    <col min="3838" max="3852" width="6.28515625" style="1340" customWidth="1"/>
    <col min="3853" max="3853" width="8.85546875" style="1340" customWidth="1"/>
    <col min="3854" max="3854" width="9" style="1340" customWidth="1"/>
    <col min="3855" max="3863" width="6.28515625" style="1340" customWidth="1"/>
    <col min="3864" max="4086" width="9.140625" style="1340"/>
    <col min="4087" max="4087" width="16.7109375" style="1340" bestFit="1" customWidth="1"/>
    <col min="4088" max="4088" width="8.28515625" style="1340" customWidth="1"/>
    <col min="4089" max="4089" width="6.28515625" style="1340" customWidth="1"/>
    <col min="4090" max="4090" width="7" style="1340" customWidth="1"/>
    <col min="4091" max="4092" width="6.28515625" style="1340" customWidth="1"/>
    <col min="4093" max="4093" width="7.140625" style="1340" customWidth="1"/>
    <col min="4094" max="4108" width="6.28515625" style="1340" customWidth="1"/>
    <col min="4109" max="4109" width="8.85546875" style="1340" customWidth="1"/>
    <col min="4110" max="4110" width="9" style="1340" customWidth="1"/>
    <col min="4111" max="4119" width="6.28515625" style="1340" customWidth="1"/>
    <col min="4120" max="4342" width="9.140625" style="1340"/>
    <col min="4343" max="4343" width="16.7109375" style="1340" bestFit="1" customWidth="1"/>
    <col min="4344" max="4344" width="8.28515625" style="1340" customWidth="1"/>
    <col min="4345" max="4345" width="6.28515625" style="1340" customWidth="1"/>
    <col min="4346" max="4346" width="7" style="1340" customWidth="1"/>
    <col min="4347" max="4348" width="6.28515625" style="1340" customWidth="1"/>
    <col min="4349" max="4349" width="7.140625" style="1340" customWidth="1"/>
    <col min="4350" max="4364" width="6.28515625" style="1340" customWidth="1"/>
    <col min="4365" max="4365" width="8.85546875" style="1340" customWidth="1"/>
    <col min="4366" max="4366" width="9" style="1340" customWidth="1"/>
    <col min="4367" max="4375" width="6.28515625" style="1340" customWidth="1"/>
    <col min="4376" max="4598" width="9.140625" style="1340"/>
    <col min="4599" max="4599" width="16.7109375" style="1340" bestFit="1" customWidth="1"/>
    <col min="4600" max="4600" width="8.28515625" style="1340" customWidth="1"/>
    <col min="4601" max="4601" width="6.28515625" style="1340" customWidth="1"/>
    <col min="4602" max="4602" width="7" style="1340" customWidth="1"/>
    <col min="4603" max="4604" width="6.28515625" style="1340" customWidth="1"/>
    <col min="4605" max="4605" width="7.140625" style="1340" customWidth="1"/>
    <col min="4606" max="4620" width="6.28515625" style="1340" customWidth="1"/>
    <col min="4621" max="4621" width="8.85546875" style="1340" customWidth="1"/>
    <col min="4622" max="4622" width="9" style="1340" customWidth="1"/>
    <col min="4623" max="4631" width="6.28515625" style="1340" customWidth="1"/>
    <col min="4632" max="4854" width="9.140625" style="1340"/>
    <col min="4855" max="4855" width="16.7109375" style="1340" bestFit="1" customWidth="1"/>
    <col min="4856" max="4856" width="8.28515625" style="1340" customWidth="1"/>
    <col min="4857" max="4857" width="6.28515625" style="1340" customWidth="1"/>
    <col min="4858" max="4858" width="7" style="1340" customWidth="1"/>
    <col min="4859" max="4860" width="6.28515625" style="1340" customWidth="1"/>
    <col min="4861" max="4861" width="7.140625" style="1340" customWidth="1"/>
    <col min="4862" max="4876" width="6.28515625" style="1340" customWidth="1"/>
    <col min="4877" max="4877" width="8.85546875" style="1340" customWidth="1"/>
    <col min="4878" max="4878" width="9" style="1340" customWidth="1"/>
    <col min="4879" max="4887" width="6.28515625" style="1340" customWidth="1"/>
    <col min="4888" max="5110" width="9.140625" style="1340"/>
    <col min="5111" max="5111" width="16.7109375" style="1340" bestFit="1" customWidth="1"/>
    <col min="5112" max="5112" width="8.28515625" style="1340" customWidth="1"/>
    <col min="5113" max="5113" width="6.28515625" style="1340" customWidth="1"/>
    <col min="5114" max="5114" width="7" style="1340" customWidth="1"/>
    <col min="5115" max="5116" width="6.28515625" style="1340" customWidth="1"/>
    <col min="5117" max="5117" width="7.140625" style="1340" customWidth="1"/>
    <col min="5118" max="5132" width="6.28515625" style="1340" customWidth="1"/>
    <col min="5133" max="5133" width="8.85546875" style="1340" customWidth="1"/>
    <col min="5134" max="5134" width="9" style="1340" customWidth="1"/>
    <col min="5135" max="5143" width="6.28515625" style="1340" customWidth="1"/>
    <col min="5144" max="5366" width="9.140625" style="1340"/>
    <col min="5367" max="5367" width="16.7109375" style="1340" bestFit="1" customWidth="1"/>
    <col min="5368" max="5368" width="8.28515625" style="1340" customWidth="1"/>
    <col min="5369" max="5369" width="6.28515625" style="1340" customWidth="1"/>
    <col min="5370" max="5370" width="7" style="1340" customWidth="1"/>
    <col min="5371" max="5372" width="6.28515625" style="1340" customWidth="1"/>
    <col min="5373" max="5373" width="7.140625" style="1340" customWidth="1"/>
    <col min="5374" max="5388" width="6.28515625" style="1340" customWidth="1"/>
    <col min="5389" max="5389" width="8.85546875" style="1340" customWidth="1"/>
    <col min="5390" max="5390" width="9" style="1340" customWidth="1"/>
    <col min="5391" max="5399" width="6.28515625" style="1340" customWidth="1"/>
    <col min="5400" max="5622" width="9.140625" style="1340"/>
    <col min="5623" max="5623" width="16.7109375" style="1340" bestFit="1" customWidth="1"/>
    <col min="5624" max="5624" width="8.28515625" style="1340" customWidth="1"/>
    <col min="5625" max="5625" width="6.28515625" style="1340" customWidth="1"/>
    <col min="5626" max="5626" width="7" style="1340" customWidth="1"/>
    <col min="5627" max="5628" width="6.28515625" style="1340" customWidth="1"/>
    <col min="5629" max="5629" width="7.140625" style="1340" customWidth="1"/>
    <col min="5630" max="5644" width="6.28515625" style="1340" customWidth="1"/>
    <col min="5645" max="5645" width="8.85546875" style="1340" customWidth="1"/>
    <col min="5646" max="5646" width="9" style="1340" customWidth="1"/>
    <col min="5647" max="5655" width="6.28515625" style="1340" customWidth="1"/>
    <col min="5656" max="5878" width="9.140625" style="1340"/>
    <col min="5879" max="5879" width="16.7109375" style="1340" bestFit="1" customWidth="1"/>
    <col min="5880" max="5880" width="8.28515625" style="1340" customWidth="1"/>
    <col min="5881" max="5881" width="6.28515625" style="1340" customWidth="1"/>
    <col min="5882" max="5882" width="7" style="1340" customWidth="1"/>
    <col min="5883" max="5884" width="6.28515625" style="1340" customWidth="1"/>
    <col min="5885" max="5885" width="7.140625" style="1340" customWidth="1"/>
    <col min="5886" max="5900" width="6.28515625" style="1340" customWidth="1"/>
    <col min="5901" max="5901" width="8.85546875" style="1340" customWidth="1"/>
    <col min="5902" max="5902" width="9" style="1340" customWidth="1"/>
    <col min="5903" max="5911" width="6.28515625" style="1340" customWidth="1"/>
    <col min="5912" max="6134" width="9.140625" style="1340"/>
    <col min="6135" max="6135" width="16.7109375" style="1340" bestFit="1" customWidth="1"/>
    <col min="6136" max="6136" width="8.28515625" style="1340" customWidth="1"/>
    <col min="6137" max="6137" width="6.28515625" style="1340" customWidth="1"/>
    <col min="6138" max="6138" width="7" style="1340" customWidth="1"/>
    <col min="6139" max="6140" width="6.28515625" style="1340" customWidth="1"/>
    <col min="6141" max="6141" width="7.140625" style="1340" customWidth="1"/>
    <col min="6142" max="6156" width="6.28515625" style="1340" customWidth="1"/>
    <col min="6157" max="6157" width="8.85546875" style="1340" customWidth="1"/>
    <col min="6158" max="6158" width="9" style="1340" customWidth="1"/>
    <col min="6159" max="6167" width="6.28515625" style="1340" customWidth="1"/>
    <col min="6168" max="6390" width="9.140625" style="1340"/>
    <col min="6391" max="6391" width="16.7109375" style="1340" bestFit="1" customWidth="1"/>
    <col min="6392" max="6392" width="8.28515625" style="1340" customWidth="1"/>
    <col min="6393" max="6393" width="6.28515625" style="1340" customWidth="1"/>
    <col min="6394" max="6394" width="7" style="1340" customWidth="1"/>
    <col min="6395" max="6396" width="6.28515625" style="1340" customWidth="1"/>
    <col min="6397" max="6397" width="7.140625" style="1340" customWidth="1"/>
    <col min="6398" max="6412" width="6.28515625" style="1340" customWidth="1"/>
    <col min="6413" max="6413" width="8.85546875" style="1340" customWidth="1"/>
    <col min="6414" max="6414" width="9" style="1340" customWidth="1"/>
    <col min="6415" max="6423" width="6.28515625" style="1340" customWidth="1"/>
    <col min="6424" max="6646" width="9.140625" style="1340"/>
    <col min="6647" max="6647" width="16.7109375" style="1340" bestFit="1" customWidth="1"/>
    <col min="6648" max="6648" width="8.28515625" style="1340" customWidth="1"/>
    <col min="6649" max="6649" width="6.28515625" style="1340" customWidth="1"/>
    <col min="6650" max="6650" width="7" style="1340" customWidth="1"/>
    <col min="6651" max="6652" width="6.28515625" style="1340" customWidth="1"/>
    <col min="6653" max="6653" width="7.140625" style="1340" customWidth="1"/>
    <col min="6654" max="6668" width="6.28515625" style="1340" customWidth="1"/>
    <col min="6669" max="6669" width="8.85546875" style="1340" customWidth="1"/>
    <col min="6670" max="6670" width="9" style="1340" customWidth="1"/>
    <col min="6671" max="6679" width="6.28515625" style="1340" customWidth="1"/>
    <col min="6680" max="6902" width="9.140625" style="1340"/>
    <col min="6903" max="6903" width="16.7109375" style="1340" bestFit="1" customWidth="1"/>
    <col min="6904" max="6904" width="8.28515625" style="1340" customWidth="1"/>
    <col min="6905" max="6905" width="6.28515625" style="1340" customWidth="1"/>
    <col min="6906" max="6906" width="7" style="1340" customWidth="1"/>
    <col min="6907" max="6908" width="6.28515625" style="1340" customWidth="1"/>
    <col min="6909" max="6909" width="7.140625" style="1340" customWidth="1"/>
    <col min="6910" max="6924" width="6.28515625" style="1340" customWidth="1"/>
    <col min="6925" max="6925" width="8.85546875" style="1340" customWidth="1"/>
    <col min="6926" max="6926" width="9" style="1340" customWidth="1"/>
    <col min="6927" max="6935" width="6.28515625" style="1340" customWidth="1"/>
    <col min="6936" max="7158" width="9.140625" style="1340"/>
    <col min="7159" max="7159" width="16.7109375" style="1340" bestFit="1" customWidth="1"/>
    <col min="7160" max="7160" width="8.28515625" style="1340" customWidth="1"/>
    <col min="7161" max="7161" width="6.28515625" style="1340" customWidth="1"/>
    <col min="7162" max="7162" width="7" style="1340" customWidth="1"/>
    <col min="7163" max="7164" width="6.28515625" style="1340" customWidth="1"/>
    <col min="7165" max="7165" width="7.140625" style="1340" customWidth="1"/>
    <col min="7166" max="7180" width="6.28515625" style="1340" customWidth="1"/>
    <col min="7181" max="7181" width="8.85546875" style="1340" customWidth="1"/>
    <col min="7182" max="7182" width="9" style="1340" customWidth="1"/>
    <col min="7183" max="7191" width="6.28515625" style="1340" customWidth="1"/>
    <col min="7192" max="7414" width="9.140625" style="1340"/>
    <col min="7415" max="7415" width="16.7109375" style="1340" bestFit="1" customWidth="1"/>
    <col min="7416" max="7416" width="8.28515625" style="1340" customWidth="1"/>
    <col min="7417" max="7417" width="6.28515625" style="1340" customWidth="1"/>
    <col min="7418" max="7418" width="7" style="1340" customWidth="1"/>
    <col min="7419" max="7420" width="6.28515625" style="1340" customWidth="1"/>
    <col min="7421" max="7421" width="7.140625" style="1340" customWidth="1"/>
    <col min="7422" max="7436" width="6.28515625" style="1340" customWidth="1"/>
    <col min="7437" max="7437" width="8.85546875" style="1340" customWidth="1"/>
    <col min="7438" max="7438" width="9" style="1340" customWidth="1"/>
    <col min="7439" max="7447" width="6.28515625" style="1340" customWidth="1"/>
    <col min="7448" max="7670" width="9.140625" style="1340"/>
    <col min="7671" max="7671" width="16.7109375" style="1340" bestFit="1" customWidth="1"/>
    <col min="7672" max="7672" width="8.28515625" style="1340" customWidth="1"/>
    <col min="7673" max="7673" width="6.28515625" style="1340" customWidth="1"/>
    <col min="7674" max="7674" width="7" style="1340" customWidth="1"/>
    <col min="7675" max="7676" width="6.28515625" style="1340" customWidth="1"/>
    <col min="7677" max="7677" width="7.140625" style="1340" customWidth="1"/>
    <col min="7678" max="7692" width="6.28515625" style="1340" customWidth="1"/>
    <col min="7693" max="7693" width="8.85546875" style="1340" customWidth="1"/>
    <col min="7694" max="7694" width="9" style="1340" customWidth="1"/>
    <col min="7695" max="7703" width="6.28515625" style="1340" customWidth="1"/>
    <col min="7704" max="7926" width="9.140625" style="1340"/>
    <col min="7927" max="7927" width="16.7109375" style="1340" bestFit="1" customWidth="1"/>
    <col min="7928" max="7928" width="8.28515625" style="1340" customWidth="1"/>
    <col min="7929" max="7929" width="6.28515625" style="1340" customWidth="1"/>
    <col min="7930" max="7930" width="7" style="1340" customWidth="1"/>
    <col min="7931" max="7932" width="6.28515625" style="1340" customWidth="1"/>
    <col min="7933" max="7933" width="7.140625" style="1340" customWidth="1"/>
    <col min="7934" max="7948" width="6.28515625" style="1340" customWidth="1"/>
    <col min="7949" max="7949" width="8.85546875" style="1340" customWidth="1"/>
    <col min="7950" max="7950" width="9" style="1340" customWidth="1"/>
    <col min="7951" max="7959" width="6.28515625" style="1340" customWidth="1"/>
    <col min="7960" max="8182" width="9.140625" style="1340"/>
    <col min="8183" max="8183" width="16.7109375" style="1340" bestFit="1" customWidth="1"/>
    <col min="8184" max="8184" width="8.28515625" style="1340" customWidth="1"/>
    <col min="8185" max="8185" width="6.28515625" style="1340" customWidth="1"/>
    <col min="8186" max="8186" width="7" style="1340" customWidth="1"/>
    <col min="8187" max="8188" width="6.28515625" style="1340" customWidth="1"/>
    <col min="8189" max="8189" width="7.140625" style="1340" customWidth="1"/>
    <col min="8190" max="8204" width="6.28515625" style="1340" customWidth="1"/>
    <col min="8205" max="8205" width="8.85546875" style="1340" customWidth="1"/>
    <col min="8206" max="8206" width="9" style="1340" customWidth="1"/>
    <col min="8207" max="8215" width="6.28515625" style="1340" customWidth="1"/>
    <col min="8216" max="8438" width="9.140625" style="1340"/>
    <col min="8439" max="8439" width="16.7109375" style="1340" bestFit="1" customWidth="1"/>
    <col min="8440" max="8440" width="8.28515625" style="1340" customWidth="1"/>
    <col min="8441" max="8441" width="6.28515625" style="1340" customWidth="1"/>
    <col min="8442" max="8442" width="7" style="1340" customWidth="1"/>
    <col min="8443" max="8444" width="6.28515625" style="1340" customWidth="1"/>
    <col min="8445" max="8445" width="7.140625" style="1340" customWidth="1"/>
    <col min="8446" max="8460" width="6.28515625" style="1340" customWidth="1"/>
    <col min="8461" max="8461" width="8.85546875" style="1340" customWidth="1"/>
    <col min="8462" max="8462" width="9" style="1340" customWidth="1"/>
    <col min="8463" max="8471" width="6.28515625" style="1340" customWidth="1"/>
    <col min="8472" max="8694" width="9.140625" style="1340"/>
    <col min="8695" max="8695" width="16.7109375" style="1340" bestFit="1" customWidth="1"/>
    <col min="8696" max="8696" width="8.28515625" style="1340" customWidth="1"/>
    <col min="8697" max="8697" width="6.28515625" style="1340" customWidth="1"/>
    <col min="8698" max="8698" width="7" style="1340" customWidth="1"/>
    <col min="8699" max="8700" width="6.28515625" style="1340" customWidth="1"/>
    <col min="8701" max="8701" width="7.140625" style="1340" customWidth="1"/>
    <col min="8702" max="8716" width="6.28515625" style="1340" customWidth="1"/>
    <col min="8717" max="8717" width="8.85546875" style="1340" customWidth="1"/>
    <col min="8718" max="8718" width="9" style="1340" customWidth="1"/>
    <col min="8719" max="8727" width="6.28515625" style="1340" customWidth="1"/>
    <col min="8728" max="8950" width="9.140625" style="1340"/>
    <col min="8951" max="8951" width="16.7109375" style="1340" bestFit="1" customWidth="1"/>
    <col min="8952" max="8952" width="8.28515625" style="1340" customWidth="1"/>
    <col min="8953" max="8953" width="6.28515625" style="1340" customWidth="1"/>
    <col min="8954" max="8954" width="7" style="1340" customWidth="1"/>
    <col min="8955" max="8956" width="6.28515625" style="1340" customWidth="1"/>
    <col min="8957" max="8957" width="7.140625" style="1340" customWidth="1"/>
    <col min="8958" max="8972" width="6.28515625" style="1340" customWidth="1"/>
    <col min="8973" max="8973" width="8.85546875" style="1340" customWidth="1"/>
    <col min="8974" max="8974" width="9" style="1340" customWidth="1"/>
    <col min="8975" max="8983" width="6.28515625" style="1340" customWidth="1"/>
    <col min="8984" max="9206" width="9.140625" style="1340"/>
    <col min="9207" max="9207" width="16.7109375" style="1340" bestFit="1" customWidth="1"/>
    <col min="9208" max="9208" width="8.28515625" style="1340" customWidth="1"/>
    <col min="9209" max="9209" width="6.28515625" style="1340" customWidth="1"/>
    <col min="9210" max="9210" width="7" style="1340" customWidth="1"/>
    <col min="9211" max="9212" width="6.28515625" style="1340" customWidth="1"/>
    <col min="9213" max="9213" width="7.140625" style="1340" customWidth="1"/>
    <col min="9214" max="9228" width="6.28515625" style="1340" customWidth="1"/>
    <col min="9229" max="9229" width="8.85546875" style="1340" customWidth="1"/>
    <col min="9230" max="9230" width="9" style="1340" customWidth="1"/>
    <col min="9231" max="9239" width="6.28515625" style="1340" customWidth="1"/>
    <col min="9240" max="9462" width="9.140625" style="1340"/>
    <col min="9463" max="9463" width="16.7109375" style="1340" bestFit="1" customWidth="1"/>
    <col min="9464" max="9464" width="8.28515625" style="1340" customWidth="1"/>
    <col min="9465" max="9465" width="6.28515625" style="1340" customWidth="1"/>
    <col min="9466" max="9466" width="7" style="1340" customWidth="1"/>
    <col min="9467" max="9468" width="6.28515625" style="1340" customWidth="1"/>
    <col min="9469" max="9469" width="7.140625" style="1340" customWidth="1"/>
    <col min="9470" max="9484" width="6.28515625" style="1340" customWidth="1"/>
    <col min="9485" max="9485" width="8.85546875" style="1340" customWidth="1"/>
    <col min="9486" max="9486" width="9" style="1340" customWidth="1"/>
    <col min="9487" max="9495" width="6.28515625" style="1340" customWidth="1"/>
    <col min="9496" max="9718" width="9.140625" style="1340"/>
    <col min="9719" max="9719" width="16.7109375" style="1340" bestFit="1" customWidth="1"/>
    <col min="9720" max="9720" width="8.28515625" style="1340" customWidth="1"/>
    <col min="9721" max="9721" width="6.28515625" style="1340" customWidth="1"/>
    <col min="9722" max="9722" width="7" style="1340" customWidth="1"/>
    <col min="9723" max="9724" width="6.28515625" style="1340" customWidth="1"/>
    <col min="9725" max="9725" width="7.140625" style="1340" customWidth="1"/>
    <col min="9726" max="9740" width="6.28515625" style="1340" customWidth="1"/>
    <col min="9741" max="9741" width="8.85546875" style="1340" customWidth="1"/>
    <col min="9742" max="9742" width="9" style="1340" customWidth="1"/>
    <col min="9743" max="9751" width="6.28515625" style="1340" customWidth="1"/>
    <col min="9752" max="9974" width="9.140625" style="1340"/>
    <col min="9975" max="9975" width="16.7109375" style="1340" bestFit="1" customWidth="1"/>
    <col min="9976" max="9976" width="8.28515625" style="1340" customWidth="1"/>
    <col min="9977" max="9977" width="6.28515625" style="1340" customWidth="1"/>
    <col min="9978" max="9978" width="7" style="1340" customWidth="1"/>
    <col min="9979" max="9980" width="6.28515625" style="1340" customWidth="1"/>
    <col min="9981" max="9981" width="7.140625" style="1340" customWidth="1"/>
    <col min="9982" max="9996" width="6.28515625" style="1340" customWidth="1"/>
    <col min="9997" max="9997" width="8.85546875" style="1340" customWidth="1"/>
    <col min="9998" max="9998" width="9" style="1340" customWidth="1"/>
    <col min="9999" max="10007" width="6.28515625" style="1340" customWidth="1"/>
    <col min="10008" max="10230" width="9.140625" style="1340"/>
    <col min="10231" max="10231" width="16.7109375" style="1340" bestFit="1" customWidth="1"/>
    <col min="10232" max="10232" width="8.28515625" style="1340" customWidth="1"/>
    <col min="10233" max="10233" width="6.28515625" style="1340" customWidth="1"/>
    <col min="10234" max="10234" width="7" style="1340" customWidth="1"/>
    <col min="10235" max="10236" width="6.28515625" style="1340" customWidth="1"/>
    <col min="10237" max="10237" width="7.140625" style="1340" customWidth="1"/>
    <col min="10238" max="10252" width="6.28515625" style="1340" customWidth="1"/>
    <col min="10253" max="10253" width="8.85546875" style="1340" customWidth="1"/>
    <col min="10254" max="10254" width="9" style="1340" customWidth="1"/>
    <col min="10255" max="10263" width="6.28515625" style="1340" customWidth="1"/>
    <col min="10264" max="10486" width="9.140625" style="1340"/>
    <col min="10487" max="10487" width="16.7109375" style="1340" bestFit="1" customWidth="1"/>
    <col min="10488" max="10488" width="8.28515625" style="1340" customWidth="1"/>
    <col min="10489" max="10489" width="6.28515625" style="1340" customWidth="1"/>
    <col min="10490" max="10490" width="7" style="1340" customWidth="1"/>
    <col min="10491" max="10492" width="6.28515625" style="1340" customWidth="1"/>
    <col min="10493" max="10493" width="7.140625" style="1340" customWidth="1"/>
    <col min="10494" max="10508" width="6.28515625" style="1340" customWidth="1"/>
    <col min="10509" max="10509" width="8.85546875" style="1340" customWidth="1"/>
    <col min="10510" max="10510" width="9" style="1340" customWidth="1"/>
    <col min="10511" max="10519" width="6.28515625" style="1340" customWidth="1"/>
    <col min="10520" max="10742" width="9.140625" style="1340"/>
    <col min="10743" max="10743" width="16.7109375" style="1340" bestFit="1" customWidth="1"/>
    <col min="10744" max="10744" width="8.28515625" style="1340" customWidth="1"/>
    <col min="10745" max="10745" width="6.28515625" style="1340" customWidth="1"/>
    <col min="10746" max="10746" width="7" style="1340" customWidth="1"/>
    <col min="10747" max="10748" width="6.28515625" style="1340" customWidth="1"/>
    <col min="10749" max="10749" width="7.140625" style="1340" customWidth="1"/>
    <col min="10750" max="10764" width="6.28515625" style="1340" customWidth="1"/>
    <col min="10765" max="10765" width="8.85546875" style="1340" customWidth="1"/>
    <col min="10766" max="10766" width="9" style="1340" customWidth="1"/>
    <col min="10767" max="10775" width="6.28515625" style="1340" customWidth="1"/>
    <col min="10776" max="10998" width="9.140625" style="1340"/>
    <col min="10999" max="10999" width="16.7109375" style="1340" bestFit="1" customWidth="1"/>
    <col min="11000" max="11000" width="8.28515625" style="1340" customWidth="1"/>
    <col min="11001" max="11001" width="6.28515625" style="1340" customWidth="1"/>
    <col min="11002" max="11002" width="7" style="1340" customWidth="1"/>
    <col min="11003" max="11004" width="6.28515625" style="1340" customWidth="1"/>
    <col min="11005" max="11005" width="7.140625" style="1340" customWidth="1"/>
    <col min="11006" max="11020" width="6.28515625" style="1340" customWidth="1"/>
    <col min="11021" max="11021" width="8.85546875" style="1340" customWidth="1"/>
    <col min="11022" max="11022" width="9" style="1340" customWidth="1"/>
    <col min="11023" max="11031" width="6.28515625" style="1340" customWidth="1"/>
    <col min="11032" max="11254" width="9.140625" style="1340"/>
    <col min="11255" max="11255" width="16.7109375" style="1340" bestFit="1" customWidth="1"/>
    <col min="11256" max="11256" width="8.28515625" style="1340" customWidth="1"/>
    <col min="11257" max="11257" width="6.28515625" style="1340" customWidth="1"/>
    <col min="11258" max="11258" width="7" style="1340" customWidth="1"/>
    <col min="11259" max="11260" width="6.28515625" style="1340" customWidth="1"/>
    <col min="11261" max="11261" width="7.140625" style="1340" customWidth="1"/>
    <col min="11262" max="11276" width="6.28515625" style="1340" customWidth="1"/>
    <col min="11277" max="11277" width="8.85546875" style="1340" customWidth="1"/>
    <col min="11278" max="11278" width="9" style="1340" customWidth="1"/>
    <col min="11279" max="11287" width="6.28515625" style="1340" customWidth="1"/>
    <col min="11288" max="11510" width="9.140625" style="1340"/>
    <col min="11511" max="11511" width="16.7109375" style="1340" bestFit="1" customWidth="1"/>
    <col min="11512" max="11512" width="8.28515625" style="1340" customWidth="1"/>
    <col min="11513" max="11513" width="6.28515625" style="1340" customWidth="1"/>
    <col min="11514" max="11514" width="7" style="1340" customWidth="1"/>
    <col min="11515" max="11516" width="6.28515625" style="1340" customWidth="1"/>
    <col min="11517" max="11517" width="7.140625" style="1340" customWidth="1"/>
    <col min="11518" max="11532" width="6.28515625" style="1340" customWidth="1"/>
    <col min="11533" max="11533" width="8.85546875" style="1340" customWidth="1"/>
    <col min="11534" max="11534" width="9" style="1340" customWidth="1"/>
    <col min="11535" max="11543" width="6.28515625" style="1340" customWidth="1"/>
    <col min="11544" max="11766" width="9.140625" style="1340"/>
    <col min="11767" max="11767" width="16.7109375" style="1340" bestFit="1" customWidth="1"/>
    <col min="11768" max="11768" width="8.28515625" style="1340" customWidth="1"/>
    <col min="11769" max="11769" width="6.28515625" style="1340" customWidth="1"/>
    <col min="11770" max="11770" width="7" style="1340" customWidth="1"/>
    <col min="11771" max="11772" width="6.28515625" style="1340" customWidth="1"/>
    <col min="11773" max="11773" width="7.140625" style="1340" customWidth="1"/>
    <col min="11774" max="11788" width="6.28515625" style="1340" customWidth="1"/>
    <col min="11789" max="11789" width="8.85546875" style="1340" customWidth="1"/>
    <col min="11790" max="11790" width="9" style="1340" customWidth="1"/>
    <col min="11791" max="11799" width="6.28515625" style="1340" customWidth="1"/>
    <col min="11800" max="12022" width="9.140625" style="1340"/>
    <col min="12023" max="12023" width="16.7109375" style="1340" bestFit="1" customWidth="1"/>
    <col min="12024" max="12024" width="8.28515625" style="1340" customWidth="1"/>
    <col min="12025" max="12025" width="6.28515625" style="1340" customWidth="1"/>
    <col min="12026" max="12026" width="7" style="1340" customWidth="1"/>
    <col min="12027" max="12028" width="6.28515625" style="1340" customWidth="1"/>
    <col min="12029" max="12029" width="7.140625" style="1340" customWidth="1"/>
    <col min="12030" max="12044" width="6.28515625" style="1340" customWidth="1"/>
    <col min="12045" max="12045" width="8.85546875" style="1340" customWidth="1"/>
    <col min="12046" max="12046" width="9" style="1340" customWidth="1"/>
    <col min="12047" max="12055" width="6.28515625" style="1340" customWidth="1"/>
    <col min="12056" max="12278" width="9.140625" style="1340"/>
    <col min="12279" max="12279" width="16.7109375" style="1340" bestFit="1" customWidth="1"/>
    <col min="12280" max="12280" width="8.28515625" style="1340" customWidth="1"/>
    <col min="12281" max="12281" width="6.28515625" style="1340" customWidth="1"/>
    <col min="12282" max="12282" width="7" style="1340" customWidth="1"/>
    <col min="12283" max="12284" width="6.28515625" style="1340" customWidth="1"/>
    <col min="12285" max="12285" width="7.140625" style="1340" customWidth="1"/>
    <col min="12286" max="12300" width="6.28515625" style="1340" customWidth="1"/>
    <col min="12301" max="12301" width="8.85546875" style="1340" customWidth="1"/>
    <col min="12302" max="12302" width="9" style="1340" customWidth="1"/>
    <col min="12303" max="12311" width="6.28515625" style="1340" customWidth="1"/>
    <col min="12312" max="12534" width="9.140625" style="1340"/>
    <col min="12535" max="12535" width="16.7109375" style="1340" bestFit="1" customWidth="1"/>
    <col min="12536" max="12536" width="8.28515625" style="1340" customWidth="1"/>
    <col min="12537" max="12537" width="6.28515625" style="1340" customWidth="1"/>
    <col min="12538" max="12538" width="7" style="1340" customWidth="1"/>
    <col min="12539" max="12540" width="6.28515625" style="1340" customWidth="1"/>
    <col min="12541" max="12541" width="7.140625" style="1340" customWidth="1"/>
    <col min="12542" max="12556" width="6.28515625" style="1340" customWidth="1"/>
    <col min="12557" max="12557" width="8.85546875" style="1340" customWidth="1"/>
    <col min="12558" max="12558" width="9" style="1340" customWidth="1"/>
    <col min="12559" max="12567" width="6.28515625" style="1340" customWidth="1"/>
    <col min="12568" max="12790" width="9.140625" style="1340"/>
    <col min="12791" max="12791" width="16.7109375" style="1340" bestFit="1" customWidth="1"/>
    <col min="12792" max="12792" width="8.28515625" style="1340" customWidth="1"/>
    <col min="12793" max="12793" width="6.28515625" style="1340" customWidth="1"/>
    <col min="12794" max="12794" width="7" style="1340" customWidth="1"/>
    <col min="12795" max="12796" width="6.28515625" style="1340" customWidth="1"/>
    <col min="12797" max="12797" width="7.140625" style="1340" customWidth="1"/>
    <col min="12798" max="12812" width="6.28515625" style="1340" customWidth="1"/>
    <col min="12813" max="12813" width="8.85546875" style="1340" customWidth="1"/>
    <col min="12814" max="12814" width="9" style="1340" customWidth="1"/>
    <col min="12815" max="12823" width="6.28515625" style="1340" customWidth="1"/>
    <col min="12824" max="13046" width="9.140625" style="1340"/>
    <col min="13047" max="13047" width="16.7109375" style="1340" bestFit="1" customWidth="1"/>
    <col min="13048" max="13048" width="8.28515625" style="1340" customWidth="1"/>
    <col min="13049" max="13049" width="6.28515625" style="1340" customWidth="1"/>
    <col min="13050" max="13050" width="7" style="1340" customWidth="1"/>
    <col min="13051" max="13052" width="6.28515625" style="1340" customWidth="1"/>
    <col min="13053" max="13053" width="7.140625" style="1340" customWidth="1"/>
    <col min="13054" max="13068" width="6.28515625" style="1340" customWidth="1"/>
    <col min="13069" max="13069" width="8.85546875" style="1340" customWidth="1"/>
    <col min="13070" max="13070" width="9" style="1340" customWidth="1"/>
    <col min="13071" max="13079" width="6.28515625" style="1340" customWidth="1"/>
    <col min="13080" max="13302" width="9.140625" style="1340"/>
    <col min="13303" max="13303" width="16.7109375" style="1340" bestFit="1" customWidth="1"/>
    <col min="13304" max="13304" width="8.28515625" style="1340" customWidth="1"/>
    <col min="13305" max="13305" width="6.28515625" style="1340" customWidth="1"/>
    <col min="13306" max="13306" width="7" style="1340" customWidth="1"/>
    <col min="13307" max="13308" width="6.28515625" style="1340" customWidth="1"/>
    <col min="13309" max="13309" width="7.140625" style="1340" customWidth="1"/>
    <col min="13310" max="13324" width="6.28515625" style="1340" customWidth="1"/>
    <col min="13325" max="13325" width="8.85546875" style="1340" customWidth="1"/>
    <col min="13326" max="13326" width="9" style="1340" customWidth="1"/>
    <col min="13327" max="13335" width="6.28515625" style="1340" customWidth="1"/>
    <col min="13336" max="13558" width="9.140625" style="1340"/>
    <col min="13559" max="13559" width="16.7109375" style="1340" bestFit="1" customWidth="1"/>
    <col min="13560" max="13560" width="8.28515625" style="1340" customWidth="1"/>
    <col min="13561" max="13561" width="6.28515625" style="1340" customWidth="1"/>
    <col min="13562" max="13562" width="7" style="1340" customWidth="1"/>
    <col min="13563" max="13564" width="6.28515625" style="1340" customWidth="1"/>
    <col min="13565" max="13565" width="7.140625" style="1340" customWidth="1"/>
    <col min="13566" max="13580" width="6.28515625" style="1340" customWidth="1"/>
    <col min="13581" max="13581" width="8.85546875" style="1340" customWidth="1"/>
    <col min="13582" max="13582" width="9" style="1340" customWidth="1"/>
    <col min="13583" max="13591" width="6.28515625" style="1340" customWidth="1"/>
    <col min="13592" max="13814" width="9.140625" style="1340"/>
    <col min="13815" max="13815" width="16.7109375" style="1340" bestFit="1" customWidth="1"/>
    <col min="13816" max="13816" width="8.28515625" style="1340" customWidth="1"/>
    <col min="13817" max="13817" width="6.28515625" style="1340" customWidth="1"/>
    <col min="13818" max="13818" width="7" style="1340" customWidth="1"/>
    <col min="13819" max="13820" width="6.28515625" style="1340" customWidth="1"/>
    <col min="13821" max="13821" width="7.140625" style="1340" customWidth="1"/>
    <col min="13822" max="13836" width="6.28515625" style="1340" customWidth="1"/>
    <col min="13837" max="13837" width="8.85546875" style="1340" customWidth="1"/>
    <col min="13838" max="13838" width="9" style="1340" customWidth="1"/>
    <col min="13839" max="13847" width="6.28515625" style="1340" customWidth="1"/>
    <col min="13848" max="14070" width="9.140625" style="1340"/>
    <col min="14071" max="14071" width="16.7109375" style="1340" bestFit="1" customWidth="1"/>
    <col min="14072" max="14072" width="8.28515625" style="1340" customWidth="1"/>
    <col min="14073" max="14073" width="6.28515625" style="1340" customWidth="1"/>
    <col min="14074" max="14074" width="7" style="1340" customWidth="1"/>
    <col min="14075" max="14076" width="6.28515625" style="1340" customWidth="1"/>
    <col min="14077" max="14077" width="7.140625" style="1340" customWidth="1"/>
    <col min="14078" max="14092" width="6.28515625" style="1340" customWidth="1"/>
    <col min="14093" max="14093" width="8.85546875" style="1340" customWidth="1"/>
    <col min="14094" max="14094" width="9" style="1340" customWidth="1"/>
    <col min="14095" max="14103" width="6.28515625" style="1340" customWidth="1"/>
    <col min="14104" max="14326" width="9.140625" style="1340"/>
    <col min="14327" max="14327" width="16.7109375" style="1340" bestFit="1" customWidth="1"/>
    <col min="14328" max="14328" width="8.28515625" style="1340" customWidth="1"/>
    <col min="14329" max="14329" width="6.28515625" style="1340" customWidth="1"/>
    <col min="14330" max="14330" width="7" style="1340" customWidth="1"/>
    <col min="14331" max="14332" width="6.28515625" style="1340" customWidth="1"/>
    <col min="14333" max="14333" width="7.140625" style="1340" customWidth="1"/>
    <col min="14334" max="14348" width="6.28515625" style="1340" customWidth="1"/>
    <col min="14349" max="14349" width="8.85546875" style="1340" customWidth="1"/>
    <col min="14350" max="14350" width="9" style="1340" customWidth="1"/>
    <col min="14351" max="14359" width="6.28515625" style="1340" customWidth="1"/>
    <col min="14360" max="14582" width="9.140625" style="1340"/>
    <col min="14583" max="14583" width="16.7109375" style="1340" bestFit="1" customWidth="1"/>
    <col min="14584" max="14584" width="8.28515625" style="1340" customWidth="1"/>
    <col min="14585" max="14585" width="6.28515625" style="1340" customWidth="1"/>
    <col min="14586" max="14586" width="7" style="1340" customWidth="1"/>
    <col min="14587" max="14588" width="6.28515625" style="1340" customWidth="1"/>
    <col min="14589" max="14589" width="7.140625" style="1340" customWidth="1"/>
    <col min="14590" max="14604" width="6.28515625" style="1340" customWidth="1"/>
    <col min="14605" max="14605" width="8.85546875" style="1340" customWidth="1"/>
    <col min="14606" max="14606" width="9" style="1340" customWidth="1"/>
    <col min="14607" max="14615" width="6.28515625" style="1340" customWidth="1"/>
    <col min="14616" max="14838" width="9.140625" style="1340"/>
    <col min="14839" max="14839" width="16.7109375" style="1340" bestFit="1" customWidth="1"/>
    <col min="14840" max="14840" width="8.28515625" style="1340" customWidth="1"/>
    <col min="14841" max="14841" width="6.28515625" style="1340" customWidth="1"/>
    <col min="14842" max="14842" width="7" style="1340" customWidth="1"/>
    <col min="14843" max="14844" width="6.28515625" style="1340" customWidth="1"/>
    <col min="14845" max="14845" width="7.140625" style="1340" customWidth="1"/>
    <col min="14846" max="14860" width="6.28515625" style="1340" customWidth="1"/>
    <col min="14861" max="14861" width="8.85546875" style="1340" customWidth="1"/>
    <col min="14862" max="14862" width="9" style="1340" customWidth="1"/>
    <col min="14863" max="14871" width="6.28515625" style="1340" customWidth="1"/>
    <col min="14872" max="15094" width="9.140625" style="1340"/>
    <col min="15095" max="15095" width="16.7109375" style="1340" bestFit="1" customWidth="1"/>
    <col min="15096" max="15096" width="8.28515625" style="1340" customWidth="1"/>
    <col min="15097" max="15097" width="6.28515625" style="1340" customWidth="1"/>
    <col min="15098" max="15098" width="7" style="1340" customWidth="1"/>
    <col min="15099" max="15100" width="6.28515625" style="1340" customWidth="1"/>
    <col min="15101" max="15101" width="7.140625" style="1340" customWidth="1"/>
    <col min="15102" max="15116" width="6.28515625" style="1340" customWidth="1"/>
    <col min="15117" max="15117" width="8.85546875" style="1340" customWidth="1"/>
    <col min="15118" max="15118" width="9" style="1340" customWidth="1"/>
    <col min="15119" max="15127" width="6.28515625" style="1340" customWidth="1"/>
    <col min="15128" max="15350" width="9.140625" style="1340"/>
    <col min="15351" max="15351" width="16.7109375" style="1340" bestFit="1" customWidth="1"/>
    <col min="15352" max="15352" width="8.28515625" style="1340" customWidth="1"/>
    <col min="15353" max="15353" width="6.28515625" style="1340" customWidth="1"/>
    <col min="15354" max="15354" width="7" style="1340" customWidth="1"/>
    <col min="15355" max="15356" width="6.28515625" style="1340" customWidth="1"/>
    <col min="15357" max="15357" width="7.140625" style="1340" customWidth="1"/>
    <col min="15358" max="15372" width="6.28515625" style="1340" customWidth="1"/>
    <col min="15373" max="15373" width="8.85546875" style="1340" customWidth="1"/>
    <col min="15374" max="15374" width="9" style="1340" customWidth="1"/>
    <col min="15375" max="15383" width="6.28515625" style="1340" customWidth="1"/>
    <col min="15384" max="15606" width="9.140625" style="1340"/>
    <col min="15607" max="15607" width="16.7109375" style="1340" bestFit="1" customWidth="1"/>
    <col min="15608" max="15608" width="8.28515625" style="1340" customWidth="1"/>
    <col min="15609" max="15609" width="6.28515625" style="1340" customWidth="1"/>
    <col min="15610" max="15610" width="7" style="1340" customWidth="1"/>
    <col min="15611" max="15612" width="6.28515625" style="1340" customWidth="1"/>
    <col min="15613" max="15613" width="7.140625" style="1340" customWidth="1"/>
    <col min="15614" max="15628" width="6.28515625" style="1340" customWidth="1"/>
    <col min="15629" max="15629" width="8.85546875" style="1340" customWidth="1"/>
    <col min="15630" max="15630" width="9" style="1340" customWidth="1"/>
    <col min="15631" max="15639" width="6.28515625" style="1340" customWidth="1"/>
    <col min="15640" max="15862" width="9.140625" style="1340"/>
    <col min="15863" max="15863" width="16.7109375" style="1340" bestFit="1" customWidth="1"/>
    <col min="15864" max="15864" width="8.28515625" style="1340" customWidth="1"/>
    <col min="15865" max="15865" width="6.28515625" style="1340" customWidth="1"/>
    <col min="15866" max="15866" width="7" style="1340" customWidth="1"/>
    <col min="15867" max="15868" width="6.28515625" style="1340" customWidth="1"/>
    <col min="15869" max="15869" width="7.140625" style="1340" customWidth="1"/>
    <col min="15870" max="15884" width="6.28515625" style="1340" customWidth="1"/>
    <col min="15885" max="15885" width="8.85546875" style="1340" customWidth="1"/>
    <col min="15886" max="15886" width="9" style="1340" customWidth="1"/>
    <col min="15887" max="15895" width="6.28515625" style="1340" customWidth="1"/>
    <col min="15896" max="16118" width="9.140625" style="1340"/>
    <col min="16119" max="16119" width="16.7109375" style="1340" bestFit="1" customWidth="1"/>
    <col min="16120" max="16120" width="8.28515625" style="1340" customWidth="1"/>
    <col min="16121" max="16121" width="6.28515625" style="1340" customWidth="1"/>
    <col min="16122" max="16122" width="7" style="1340" customWidth="1"/>
    <col min="16123" max="16124" width="6.28515625" style="1340" customWidth="1"/>
    <col min="16125" max="16125" width="7.140625" style="1340" customWidth="1"/>
    <col min="16126" max="16140" width="6.28515625" style="1340" customWidth="1"/>
    <col min="16141" max="16141" width="8.85546875" style="1340" customWidth="1"/>
    <col min="16142" max="16142" width="9" style="1340" customWidth="1"/>
    <col min="16143" max="16151" width="6.28515625" style="1340" customWidth="1"/>
    <col min="16152" max="16384" width="9.140625" style="1340"/>
  </cols>
  <sheetData>
    <row r="1" spans="1:15" s="1328" customFormat="1" ht="11.25" hidden="1" customHeight="1">
      <c r="A1" s="1327"/>
      <c r="F1" s="1329"/>
      <c r="G1" s="1330"/>
      <c r="I1" s="1329"/>
      <c r="K1" s="1331"/>
      <c r="L1" s="1331"/>
      <c r="M1" s="1331"/>
      <c r="N1" s="1651"/>
    </row>
    <row r="2" spans="1:15" s="1339" customFormat="1" ht="33" customHeight="1">
      <c r="A2" s="1332"/>
      <c r="B2" s="1333"/>
      <c r="C2" s="1334"/>
      <c r="D2" s="1334"/>
      <c r="E2" s="1334"/>
      <c r="F2" s="1335"/>
      <c r="G2" s="1334"/>
      <c r="H2" s="1336"/>
      <c r="I2" s="1337"/>
      <c r="J2" s="1338"/>
      <c r="K2" s="1338"/>
      <c r="L2" s="1338"/>
      <c r="M2" s="1338"/>
      <c r="N2" s="1558" t="s">
        <v>755</v>
      </c>
    </row>
    <row r="3" spans="1:15" s="1339" customFormat="1" ht="12.75" customHeight="1">
      <c r="A3" s="2047" t="s">
        <v>336</v>
      </c>
      <c r="B3" s="2047"/>
      <c r="C3" s="2047"/>
      <c r="D3" s="2047"/>
      <c r="E3" s="2047"/>
      <c r="F3" s="2047"/>
      <c r="G3" s="2047"/>
      <c r="H3" s="2047"/>
      <c r="I3" s="2047"/>
      <c r="J3" s="2047"/>
      <c r="K3" s="2047"/>
      <c r="L3" s="2047"/>
      <c r="M3" s="2047"/>
      <c r="N3" s="2047"/>
    </row>
    <row r="4" spans="1:15" s="1328" customFormat="1" ht="12" thickBot="1">
      <c r="A4" s="1392">
        <v>2020</v>
      </c>
      <c r="B4" s="1344"/>
      <c r="C4" s="1344"/>
      <c r="D4" s="1344"/>
      <c r="E4" s="1344"/>
      <c r="F4" s="1345"/>
      <c r="G4" s="1346"/>
      <c r="H4" s="1344"/>
      <c r="I4" s="1345"/>
      <c r="J4" s="1344"/>
      <c r="K4" s="1344"/>
      <c r="L4" s="1345"/>
      <c r="M4" s="1346"/>
      <c r="N4" s="1293"/>
    </row>
    <row r="5" spans="1:15" s="1328" customFormat="1" ht="13.5" customHeight="1" thickBot="1">
      <c r="A5" s="2044" t="s">
        <v>224</v>
      </c>
      <c r="B5" s="2051" t="s">
        <v>308</v>
      </c>
      <c r="C5" s="2045" t="s">
        <v>309</v>
      </c>
      <c r="D5" s="2053"/>
      <c r="E5" s="2071" t="s">
        <v>310</v>
      </c>
      <c r="F5" s="2069"/>
      <c r="G5" s="2069"/>
      <c r="H5" s="2069"/>
      <c r="I5" s="2069"/>
      <c r="J5" s="2069"/>
      <c r="K5" s="1690" t="s">
        <v>310</v>
      </c>
      <c r="L5" s="1669"/>
      <c r="M5" s="1669"/>
      <c r="N5" s="2056" t="s">
        <v>312</v>
      </c>
    </row>
    <row r="6" spans="1:15" s="1347" customFormat="1" ht="24.75" customHeight="1">
      <c r="A6" s="2050"/>
      <c r="B6" s="2052"/>
      <c r="C6" s="2054"/>
      <c r="D6" s="2065"/>
      <c r="E6" s="2044" t="s">
        <v>638</v>
      </c>
      <c r="F6" s="2045"/>
      <c r="G6" s="1865">
        <v>18</v>
      </c>
      <c r="H6" s="2044" t="s">
        <v>595</v>
      </c>
      <c r="I6" s="2045"/>
      <c r="J6" s="1866">
        <v>3</v>
      </c>
      <c r="K6" s="2044" t="s">
        <v>672</v>
      </c>
      <c r="L6" s="2046"/>
      <c r="M6" s="1670"/>
      <c r="N6" s="2057"/>
    </row>
    <row r="7" spans="1:15" s="1347" customFormat="1" ht="57" customHeight="1" thickBot="1">
      <c r="A7" s="2066"/>
      <c r="B7" s="2067"/>
      <c r="C7" s="1513" t="s">
        <v>314</v>
      </c>
      <c r="D7" s="1514" t="s">
        <v>315</v>
      </c>
      <c r="E7" s="1652" t="s">
        <v>314</v>
      </c>
      <c r="F7" s="1653" t="s">
        <v>315</v>
      </c>
      <c r="G7" s="1654" t="s">
        <v>317</v>
      </c>
      <c r="H7" s="1652" t="s">
        <v>314</v>
      </c>
      <c r="I7" s="1653" t="s">
        <v>315</v>
      </c>
      <c r="J7" s="1655" t="s">
        <v>317</v>
      </c>
      <c r="K7" s="1515" t="s">
        <v>314</v>
      </c>
      <c r="L7" s="1516" t="s">
        <v>315</v>
      </c>
      <c r="M7" s="1517" t="s">
        <v>317</v>
      </c>
      <c r="N7" s="2073"/>
    </row>
    <row r="8" spans="1:15" s="1331" customFormat="1" ht="12" thickBot="1">
      <c r="A8" s="1518" t="s">
        <v>305</v>
      </c>
      <c r="B8" s="1519">
        <v>1</v>
      </c>
      <c r="C8" s="1520">
        <f>B8+1</f>
        <v>2</v>
      </c>
      <c r="D8" s="1521">
        <f t="shared" ref="D8:J8" si="0">C8+1</f>
        <v>3</v>
      </c>
      <c r="E8" s="1645">
        <v>2</v>
      </c>
      <c r="F8" s="1644">
        <f t="shared" si="0"/>
        <v>3</v>
      </c>
      <c r="G8" s="1646">
        <f t="shared" si="0"/>
        <v>4</v>
      </c>
      <c r="H8" s="1645">
        <f t="shared" si="0"/>
        <v>5</v>
      </c>
      <c r="I8" s="1644">
        <f t="shared" si="0"/>
        <v>6</v>
      </c>
      <c r="J8" s="1656">
        <f t="shared" si="0"/>
        <v>7</v>
      </c>
      <c r="K8" s="1645">
        <f t="shared" ref="K8" si="1">J8+1</f>
        <v>8</v>
      </c>
      <c r="L8" s="1644">
        <f t="shared" ref="L8" si="2">K8+1</f>
        <v>9</v>
      </c>
      <c r="M8" s="1656">
        <f t="shared" ref="M8" si="3">L8+1</f>
        <v>10</v>
      </c>
      <c r="N8" s="1656">
        <v>11</v>
      </c>
    </row>
    <row r="9" spans="1:15" s="1350" customFormat="1">
      <c r="A9" s="1401" t="s">
        <v>580</v>
      </c>
      <c r="B9" s="1632">
        <f>'2.ДП'!V10</f>
        <v>0</v>
      </c>
      <c r="C9" s="1522" t="e">
        <f>+E9+H9+#REF!+K9+#REF!+#REF!</f>
        <v>#REF!</v>
      </c>
      <c r="D9" s="1523" t="e">
        <f>+F9+I9+#REF!+L9+#REF!+#REF!</f>
        <v>#REF!</v>
      </c>
      <c r="E9" s="1862">
        <v>1.3</v>
      </c>
      <c r="F9" s="1524">
        <f>E9*B9/10</f>
        <v>0</v>
      </c>
      <c r="G9" s="1523">
        <f>F9*G$6</f>
        <v>0</v>
      </c>
      <c r="H9" s="1886">
        <v>4</v>
      </c>
      <c r="I9" s="1524">
        <f t="shared" ref="I9:I21" si="4">H9*B9/10</f>
        <v>0</v>
      </c>
      <c r="J9" s="1525">
        <f>I9*J$6</f>
        <v>0</v>
      </c>
      <c r="K9" s="1890"/>
      <c r="L9" s="1524">
        <f t="shared" ref="L9:L21" si="5">K9*B9/10</f>
        <v>0</v>
      </c>
      <c r="M9" s="1525">
        <f>L9*M$6</f>
        <v>0</v>
      </c>
      <c r="N9" s="1662">
        <f>G9+J9+M9</f>
        <v>0</v>
      </c>
    </row>
    <row r="10" spans="1:15" s="1350" customFormat="1">
      <c r="A10" s="1402" t="s">
        <v>581</v>
      </c>
      <c r="B10" s="1526">
        <f>'2.ДП'!V11</f>
        <v>0</v>
      </c>
      <c r="C10" s="1527" t="e">
        <f>+E10+H10+#REF!+K10+#REF!+#REF!</f>
        <v>#REF!</v>
      </c>
      <c r="D10" s="1528" t="e">
        <f>+F10+I10+#REF!+L10+#REF!+#REF!</f>
        <v>#REF!</v>
      </c>
      <c r="E10" s="1863">
        <v>3</v>
      </c>
      <c r="F10" s="1529">
        <f>E10*B10/10</f>
        <v>0</v>
      </c>
      <c r="G10" s="1528">
        <f>F10*G$6</f>
        <v>0</v>
      </c>
      <c r="H10" s="1887">
        <v>6</v>
      </c>
      <c r="I10" s="1529">
        <f t="shared" si="4"/>
        <v>0</v>
      </c>
      <c r="J10" s="1530">
        <f>I10*J$6</f>
        <v>0</v>
      </c>
      <c r="K10" s="1891"/>
      <c r="L10" s="1529">
        <f t="shared" si="5"/>
        <v>0</v>
      </c>
      <c r="M10" s="1530">
        <f>L10*M$6</f>
        <v>0</v>
      </c>
      <c r="N10" s="1663">
        <f t="shared" ref="N10:N21" si="6">G10+J10+M10</f>
        <v>0</v>
      </c>
    </row>
    <row r="11" spans="1:15" s="1350" customFormat="1">
      <c r="A11" s="1402" t="s">
        <v>582</v>
      </c>
      <c r="B11" s="1526">
        <f>'2.ДП'!V12</f>
        <v>0</v>
      </c>
      <c r="C11" s="1527" t="e">
        <f>+E11+H11+#REF!+K11+#REF!+#REF!</f>
        <v>#REF!</v>
      </c>
      <c r="D11" s="1528" t="e">
        <f>+F11+I11+#REF!+L11+#REF!+#REF!</f>
        <v>#REF!</v>
      </c>
      <c r="E11" s="1863">
        <v>1.3</v>
      </c>
      <c r="F11" s="1529">
        <f t="shared" ref="F11:F21" si="7">E11*B11/10</f>
        <v>0</v>
      </c>
      <c r="G11" s="1528">
        <f t="shared" ref="G11:G21" si="8">F11*G$6</f>
        <v>0</v>
      </c>
      <c r="H11" s="1887">
        <v>5</v>
      </c>
      <c r="I11" s="1529">
        <f>H11*B11/10</f>
        <v>0</v>
      </c>
      <c r="J11" s="1530">
        <f t="shared" ref="J11:J21" si="9">I11*J$6</f>
        <v>0</v>
      </c>
      <c r="K11" s="1891"/>
      <c r="L11" s="1529">
        <f t="shared" si="5"/>
        <v>0</v>
      </c>
      <c r="M11" s="1530">
        <f t="shared" ref="M11:M21" si="10">L11*M$6</f>
        <v>0</v>
      </c>
      <c r="N11" s="1663">
        <f t="shared" si="6"/>
        <v>0</v>
      </c>
    </row>
    <row r="12" spans="1:15" s="1350" customFormat="1">
      <c r="A12" s="1402" t="s">
        <v>583</v>
      </c>
      <c r="B12" s="1526">
        <f>'2.ДП'!V13</f>
        <v>0</v>
      </c>
      <c r="C12" s="1527" t="e">
        <f>+E12+H12+#REF!+K12+#REF!+#REF!</f>
        <v>#REF!</v>
      </c>
      <c r="D12" s="1528" t="e">
        <f>+F12+I12+#REF!+L12+#REF!+#REF!</f>
        <v>#REF!</v>
      </c>
      <c r="E12" s="1863">
        <v>1</v>
      </c>
      <c r="F12" s="1529">
        <f t="shared" si="7"/>
        <v>0</v>
      </c>
      <c r="G12" s="1528">
        <f t="shared" si="8"/>
        <v>0</v>
      </c>
      <c r="H12" s="1887">
        <v>12</v>
      </c>
      <c r="I12" s="1529">
        <f t="shared" si="4"/>
        <v>0</v>
      </c>
      <c r="J12" s="1530">
        <f t="shared" si="9"/>
        <v>0</v>
      </c>
      <c r="K12" s="1891"/>
      <c r="L12" s="1529">
        <f t="shared" si="5"/>
        <v>0</v>
      </c>
      <c r="M12" s="1530">
        <f t="shared" si="10"/>
        <v>0</v>
      </c>
      <c r="N12" s="1663">
        <f t="shared" si="6"/>
        <v>0</v>
      </c>
      <c r="O12" s="1351">
        <f>SUM(N12:N21)</f>
        <v>0</v>
      </c>
    </row>
    <row r="13" spans="1:15" s="1350" customFormat="1">
      <c r="A13" s="1403" t="s">
        <v>584</v>
      </c>
      <c r="B13" s="1526">
        <f>'2.ДП'!V14</f>
        <v>0</v>
      </c>
      <c r="C13" s="1527" t="e">
        <f>+E13+H13+#REF!+K13+#REF!+#REF!</f>
        <v>#REF!</v>
      </c>
      <c r="D13" s="1528" t="e">
        <f>+F13+I13+#REF!+L13+#REF!+#REF!</f>
        <v>#REF!</v>
      </c>
      <c r="E13" s="1863">
        <v>1</v>
      </c>
      <c r="F13" s="1529">
        <f t="shared" si="7"/>
        <v>0</v>
      </c>
      <c r="G13" s="1528">
        <f t="shared" si="8"/>
        <v>0</v>
      </c>
      <c r="H13" s="1887"/>
      <c r="I13" s="1529">
        <f t="shared" si="4"/>
        <v>0</v>
      </c>
      <c r="J13" s="1530">
        <f t="shared" si="9"/>
        <v>0</v>
      </c>
      <c r="K13" s="1891"/>
      <c r="L13" s="1529">
        <f t="shared" si="5"/>
        <v>0</v>
      </c>
      <c r="M13" s="1530">
        <f t="shared" si="10"/>
        <v>0</v>
      </c>
      <c r="N13" s="1663">
        <f t="shared" si="6"/>
        <v>0</v>
      </c>
    </row>
    <row r="14" spans="1:15" s="1350" customFormat="1">
      <c r="A14" s="1403" t="s">
        <v>585</v>
      </c>
      <c r="B14" s="1526">
        <f>'2.ДП'!V15</f>
        <v>0</v>
      </c>
      <c r="C14" s="1527" t="e">
        <f>+E14+H14+#REF!+K14+#REF!+#REF!</f>
        <v>#REF!</v>
      </c>
      <c r="D14" s="1528" t="e">
        <f>+F14+I14+#REF!+L14+#REF!+#REF!</f>
        <v>#REF!</v>
      </c>
      <c r="E14" s="1863">
        <v>1</v>
      </c>
      <c r="F14" s="1529">
        <f t="shared" si="7"/>
        <v>0</v>
      </c>
      <c r="G14" s="1528">
        <f t="shared" si="8"/>
        <v>0</v>
      </c>
      <c r="H14" s="1887">
        <v>3</v>
      </c>
      <c r="I14" s="1529">
        <f t="shared" si="4"/>
        <v>0</v>
      </c>
      <c r="J14" s="1530">
        <f t="shared" si="9"/>
        <v>0</v>
      </c>
      <c r="K14" s="1891"/>
      <c r="L14" s="1529">
        <f t="shared" si="5"/>
        <v>0</v>
      </c>
      <c r="M14" s="1530">
        <f t="shared" si="10"/>
        <v>0</v>
      </c>
      <c r="N14" s="1663">
        <f t="shared" si="6"/>
        <v>0</v>
      </c>
    </row>
    <row r="15" spans="1:15" s="1350" customFormat="1">
      <c r="A15" s="1403" t="s">
        <v>586</v>
      </c>
      <c r="B15" s="1526">
        <f>'2.ДП'!V16</f>
        <v>0</v>
      </c>
      <c r="C15" s="1527" t="e">
        <f>+E15+H15+#REF!+K15+#REF!+#REF!</f>
        <v>#REF!</v>
      </c>
      <c r="D15" s="1528" t="e">
        <f>+F15+I15+#REF!+L15+#REF!+#REF!</f>
        <v>#REF!</v>
      </c>
      <c r="E15" s="1863">
        <v>1</v>
      </c>
      <c r="F15" s="1529">
        <f t="shared" si="7"/>
        <v>0</v>
      </c>
      <c r="G15" s="1528">
        <f t="shared" si="8"/>
        <v>0</v>
      </c>
      <c r="H15" s="1887">
        <v>3</v>
      </c>
      <c r="I15" s="1529">
        <f t="shared" si="4"/>
        <v>0</v>
      </c>
      <c r="J15" s="1530">
        <f t="shared" si="9"/>
        <v>0</v>
      </c>
      <c r="K15" s="1891"/>
      <c r="L15" s="1529">
        <f t="shared" si="5"/>
        <v>0</v>
      </c>
      <c r="M15" s="1530">
        <f t="shared" si="10"/>
        <v>0</v>
      </c>
      <c r="N15" s="1663">
        <f t="shared" si="6"/>
        <v>0</v>
      </c>
    </row>
    <row r="16" spans="1:15" s="1350" customFormat="1">
      <c r="A16" s="1403" t="s">
        <v>587</v>
      </c>
      <c r="B16" s="1526">
        <f>'2.ДП'!V17</f>
        <v>0</v>
      </c>
      <c r="C16" s="1527" t="e">
        <f>+E16+H16+#REF!+K16+#REF!+#REF!</f>
        <v>#REF!</v>
      </c>
      <c r="D16" s="1528" t="e">
        <f>+F16+I16+#REF!+L16+#REF!+#REF!</f>
        <v>#REF!</v>
      </c>
      <c r="E16" s="1863">
        <v>1</v>
      </c>
      <c r="F16" s="1529">
        <f t="shared" si="7"/>
        <v>0</v>
      </c>
      <c r="G16" s="1528">
        <f t="shared" si="8"/>
        <v>0</v>
      </c>
      <c r="H16" s="1887">
        <v>2.5</v>
      </c>
      <c r="I16" s="1529">
        <f t="shared" si="4"/>
        <v>0</v>
      </c>
      <c r="J16" s="1530">
        <f t="shared" si="9"/>
        <v>0</v>
      </c>
      <c r="K16" s="1891"/>
      <c r="L16" s="1529">
        <f t="shared" si="5"/>
        <v>0</v>
      </c>
      <c r="M16" s="1530">
        <f t="shared" si="10"/>
        <v>0</v>
      </c>
      <c r="N16" s="1663">
        <f t="shared" si="6"/>
        <v>0</v>
      </c>
    </row>
    <row r="17" spans="1:16" s="1350" customFormat="1">
      <c r="A17" s="1403" t="s">
        <v>588</v>
      </c>
      <c r="B17" s="1526">
        <f>'2.ДП'!V18</f>
        <v>0</v>
      </c>
      <c r="C17" s="1527" t="e">
        <f>+E17+H17+#REF!+K17+#REF!+#REF!</f>
        <v>#REF!</v>
      </c>
      <c r="D17" s="1528" t="e">
        <f>+F17+I17+#REF!+L17+#REF!+#REF!</f>
        <v>#REF!</v>
      </c>
      <c r="E17" s="1863">
        <v>1</v>
      </c>
      <c r="F17" s="1529">
        <f t="shared" si="7"/>
        <v>0</v>
      </c>
      <c r="G17" s="1528">
        <f t="shared" si="8"/>
        <v>0</v>
      </c>
      <c r="H17" s="1887">
        <v>2.5</v>
      </c>
      <c r="I17" s="1529">
        <f t="shared" si="4"/>
        <v>0</v>
      </c>
      <c r="J17" s="1530">
        <f t="shared" si="9"/>
        <v>0</v>
      </c>
      <c r="K17" s="1891"/>
      <c r="L17" s="1529">
        <f t="shared" si="5"/>
        <v>0</v>
      </c>
      <c r="M17" s="1530">
        <f t="shared" si="10"/>
        <v>0</v>
      </c>
      <c r="N17" s="1663">
        <f t="shared" si="6"/>
        <v>0</v>
      </c>
    </row>
    <row r="18" spans="1:16" s="1350" customFormat="1">
      <c r="A18" s="1403" t="s">
        <v>589</v>
      </c>
      <c r="B18" s="1526">
        <f>'2.ДП'!V19</f>
        <v>0</v>
      </c>
      <c r="C18" s="1527" t="e">
        <f>+E18+H18+#REF!+K18+#REF!+#REF!</f>
        <v>#REF!</v>
      </c>
      <c r="D18" s="1528" t="e">
        <f>+F18+I18+#REF!+L18+#REF!+#REF!</f>
        <v>#REF!</v>
      </c>
      <c r="E18" s="1863">
        <v>1.2</v>
      </c>
      <c r="F18" s="1529">
        <f t="shared" si="7"/>
        <v>0</v>
      </c>
      <c r="G18" s="1528">
        <f t="shared" si="8"/>
        <v>0</v>
      </c>
      <c r="H18" s="1887">
        <v>2</v>
      </c>
      <c r="I18" s="1529">
        <f t="shared" si="4"/>
        <v>0</v>
      </c>
      <c r="J18" s="1530">
        <f t="shared" si="9"/>
        <v>0</v>
      </c>
      <c r="K18" s="1891"/>
      <c r="L18" s="1529">
        <f t="shared" si="5"/>
        <v>0</v>
      </c>
      <c r="M18" s="1530">
        <f t="shared" si="10"/>
        <v>0</v>
      </c>
      <c r="N18" s="1663">
        <f t="shared" si="6"/>
        <v>0</v>
      </c>
    </row>
    <row r="19" spans="1:16" s="1350" customFormat="1">
      <c r="A19" s="1403" t="s">
        <v>590</v>
      </c>
      <c r="B19" s="1526">
        <f>'2.ДП'!V20</f>
        <v>0</v>
      </c>
      <c r="C19" s="1527" t="e">
        <f>+E19+H19+#REF!+K19+#REF!+#REF!</f>
        <v>#REF!</v>
      </c>
      <c r="D19" s="1528" t="e">
        <f>+F19+I19+#REF!+L19+#REF!+#REF!</f>
        <v>#REF!</v>
      </c>
      <c r="E19" s="1863">
        <v>1.2</v>
      </c>
      <c r="F19" s="1529">
        <f t="shared" si="7"/>
        <v>0</v>
      </c>
      <c r="G19" s="1528">
        <f t="shared" si="8"/>
        <v>0</v>
      </c>
      <c r="H19" s="1887">
        <v>2</v>
      </c>
      <c r="I19" s="1529">
        <f t="shared" si="4"/>
        <v>0</v>
      </c>
      <c r="J19" s="1530">
        <f t="shared" si="9"/>
        <v>0</v>
      </c>
      <c r="K19" s="1891"/>
      <c r="L19" s="1529">
        <f t="shared" si="5"/>
        <v>0</v>
      </c>
      <c r="M19" s="1530">
        <f t="shared" si="10"/>
        <v>0</v>
      </c>
      <c r="N19" s="1663">
        <f t="shared" si="6"/>
        <v>0</v>
      </c>
    </row>
    <row r="20" spans="1:16" s="1350" customFormat="1">
      <c r="A20" s="1403" t="s">
        <v>591</v>
      </c>
      <c r="B20" s="1526">
        <f>'2.ДП'!V21</f>
        <v>0</v>
      </c>
      <c r="C20" s="1527" t="e">
        <f>+E20+H20+#REF!+K20+#REF!+#REF!</f>
        <v>#REF!</v>
      </c>
      <c r="D20" s="1528" t="e">
        <f>+F20+I20+#REF!+L20+#REF!+#REF!</f>
        <v>#REF!</v>
      </c>
      <c r="E20" s="1863">
        <v>1.5</v>
      </c>
      <c r="F20" s="1529">
        <f t="shared" si="7"/>
        <v>0</v>
      </c>
      <c r="G20" s="1528">
        <f t="shared" si="8"/>
        <v>0</v>
      </c>
      <c r="H20" s="1887">
        <v>2.5</v>
      </c>
      <c r="I20" s="1529">
        <f t="shared" si="4"/>
        <v>0</v>
      </c>
      <c r="J20" s="1530">
        <f t="shared" si="9"/>
        <v>0</v>
      </c>
      <c r="K20" s="1891"/>
      <c r="L20" s="1529">
        <f t="shared" si="5"/>
        <v>0</v>
      </c>
      <c r="M20" s="1530">
        <f t="shared" si="10"/>
        <v>0</v>
      </c>
      <c r="N20" s="1663">
        <f t="shared" si="6"/>
        <v>0</v>
      </c>
      <c r="P20" s="1351"/>
    </row>
    <row r="21" spans="1:16" s="1350" customFormat="1" ht="12" thickBot="1">
      <c r="A21" s="1404" t="s">
        <v>592</v>
      </c>
      <c r="B21" s="1633">
        <f>'2.ДП'!V22</f>
        <v>0</v>
      </c>
      <c r="C21" s="1531" t="e">
        <f>+E21+H21+#REF!+K21+#REF!+#REF!</f>
        <v>#REF!</v>
      </c>
      <c r="D21" s="1532" t="e">
        <f>+F21+I21+#REF!+L21+#REF!+#REF!</f>
        <v>#REF!</v>
      </c>
      <c r="E21" s="1864">
        <v>1.5</v>
      </c>
      <c r="F21" s="1533">
        <f t="shared" si="7"/>
        <v>0</v>
      </c>
      <c r="G21" s="1532">
        <f t="shared" si="8"/>
        <v>0</v>
      </c>
      <c r="H21" s="1889">
        <v>2.5</v>
      </c>
      <c r="I21" s="1533">
        <f t="shared" si="4"/>
        <v>0</v>
      </c>
      <c r="J21" s="1534">
        <f t="shared" si="9"/>
        <v>0</v>
      </c>
      <c r="K21" s="1892"/>
      <c r="L21" s="1660">
        <f t="shared" si="5"/>
        <v>0</v>
      </c>
      <c r="M21" s="1534">
        <f t="shared" si="10"/>
        <v>0</v>
      </c>
      <c r="N21" s="1664">
        <f t="shared" si="6"/>
        <v>0</v>
      </c>
      <c r="P21" s="1351"/>
    </row>
    <row r="22" spans="1:16" s="1352" customFormat="1" thickBot="1">
      <c r="A22" s="1867" t="s">
        <v>238</v>
      </c>
      <c r="B22" s="1868">
        <f>SUM(B9:B21)</f>
        <v>0</v>
      </c>
      <c r="C22" s="1869"/>
      <c r="D22" s="1870" t="e">
        <f>SUM(D9:D21)</f>
        <v>#REF!</v>
      </c>
      <c r="E22" s="1871"/>
      <c r="F22" s="1872">
        <f>SUM(F9:F21)</f>
        <v>0</v>
      </c>
      <c r="G22" s="1870">
        <f>SUM(G9:G21)</f>
        <v>0</v>
      </c>
      <c r="H22" s="1871"/>
      <c r="I22" s="1872">
        <f>SUM(I9:I21)</f>
        <v>0</v>
      </c>
      <c r="J22" s="1873">
        <f>SUM(J9:J21)</f>
        <v>0</v>
      </c>
      <c r="K22" s="1869"/>
      <c r="L22" s="1872">
        <f>SUM(L9:L21)</f>
        <v>0</v>
      </c>
      <c r="M22" s="1872">
        <f>SUM(M9:M21)</f>
        <v>0</v>
      </c>
      <c r="N22" s="1873">
        <f>SUM(N9:N21)/2</f>
        <v>0</v>
      </c>
      <c r="O22" s="1386">
        <f>+N22-N10</f>
        <v>0</v>
      </c>
    </row>
    <row r="23" spans="1:16" s="1339" customFormat="1" ht="20.25" customHeight="1">
      <c r="A23" s="2048" t="s">
        <v>336</v>
      </c>
      <c r="B23" s="2048"/>
      <c r="C23" s="2048"/>
      <c r="D23" s="2048"/>
      <c r="E23" s="2048"/>
      <c r="F23" s="2048"/>
      <c r="G23" s="2048"/>
      <c r="H23" s="2048"/>
      <c r="I23" s="2048"/>
      <c r="J23" s="2048"/>
      <c r="K23" s="2048"/>
      <c r="L23" s="2048"/>
      <c r="M23" s="2048"/>
      <c r="N23" s="2048"/>
    </row>
    <row r="24" spans="1:16" s="1328" customFormat="1" ht="12" thickBot="1">
      <c r="A24" s="1392">
        <f>+A4+1</f>
        <v>2021</v>
      </c>
      <c r="B24" s="1344"/>
      <c r="C24" s="1344"/>
      <c r="D24" s="1344"/>
      <c r="E24" s="1344"/>
      <c r="F24" s="1345"/>
      <c r="G24" s="1346"/>
      <c r="H24" s="1344"/>
      <c r="I24" s="1345"/>
      <c r="J24" s="1344"/>
      <c r="K24" s="1344"/>
      <c r="L24" s="1345"/>
      <c r="M24" s="1346"/>
      <c r="N24" s="1293"/>
    </row>
    <row r="25" spans="1:16" s="1328" customFormat="1" ht="13.5" customHeight="1" thickBot="1">
      <c r="A25" s="2060" t="s">
        <v>224</v>
      </c>
      <c r="B25" s="2062" t="s">
        <v>308</v>
      </c>
      <c r="C25" s="2053" t="s">
        <v>309</v>
      </c>
      <c r="D25" s="2064"/>
      <c r="E25" s="2068" t="s">
        <v>310</v>
      </c>
      <c r="F25" s="2069"/>
      <c r="G25" s="2069"/>
      <c r="H25" s="2069"/>
      <c r="I25" s="2069"/>
      <c r="J25" s="2069"/>
      <c r="K25" s="1669" t="s">
        <v>310</v>
      </c>
      <c r="L25" s="1669"/>
      <c r="M25" s="1669"/>
      <c r="N25" s="2056" t="s">
        <v>312</v>
      </c>
    </row>
    <row r="26" spans="1:16" s="1347" customFormat="1" ht="24.75" customHeight="1">
      <c r="A26" s="2061"/>
      <c r="B26" s="2063"/>
      <c r="C26" s="2055"/>
      <c r="D26" s="2065"/>
      <c r="E26" s="2044" t="s">
        <v>638</v>
      </c>
      <c r="F26" s="2045"/>
      <c r="G26" s="1904">
        <f>G6</f>
        <v>18</v>
      </c>
      <c r="H26" s="2044" t="s">
        <v>595</v>
      </c>
      <c r="I26" s="2045"/>
      <c r="J26" s="1883">
        <v>3</v>
      </c>
      <c r="K26" s="2044" t="s">
        <v>672</v>
      </c>
      <c r="L26" s="2046"/>
      <c r="M26" s="1670"/>
      <c r="N26" s="2072"/>
    </row>
    <row r="27" spans="1:16" s="1347" customFormat="1" ht="57" customHeight="1">
      <c r="A27" s="2061"/>
      <c r="B27" s="2063"/>
      <c r="C27" s="1381" t="s">
        <v>314</v>
      </c>
      <c r="D27" s="1382" t="s">
        <v>315</v>
      </c>
      <c r="E27" s="1383" t="s">
        <v>314</v>
      </c>
      <c r="F27" s="1348" t="s">
        <v>315</v>
      </c>
      <c r="G27" s="1367" t="s">
        <v>317</v>
      </c>
      <c r="H27" s="1383" t="s">
        <v>314</v>
      </c>
      <c r="I27" s="1348" t="s">
        <v>315</v>
      </c>
      <c r="J27" s="1367" t="s">
        <v>317</v>
      </c>
      <c r="K27" s="1650" t="s">
        <v>314</v>
      </c>
      <c r="L27" s="1348" t="s">
        <v>315</v>
      </c>
      <c r="M27" s="1367" t="s">
        <v>317</v>
      </c>
      <c r="N27" s="2072"/>
    </row>
    <row r="28" spans="1:16" s="1331" customFormat="1" ht="12" thickBot="1">
      <c r="A28" s="1399" t="s">
        <v>305</v>
      </c>
      <c r="B28" s="1366">
        <v>1</v>
      </c>
      <c r="C28" s="1359">
        <f>B28+1</f>
        <v>2</v>
      </c>
      <c r="D28" s="1362">
        <f t="shared" ref="D28:J28" si="11">C28+1</f>
        <v>3</v>
      </c>
      <c r="E28" s="1368">
        <v>2</v>
      </c>
      <c r="F28" s="1359">
        <f t="shared" si="11"/>
        <v>3</v>
      </c>
      <c r="G28" s="1369">
        <f t="shared" si="11"/>
        <v>4</v>
      </c>
      <c r="H28" s="1368">
        <f t="shared" si="11"/>
        <v>5</v>
      </c>
      <c r="I28" s="1359">
        <f t="shared" si="11"/>
        <v>6</v>
      </c>
      <c r="J28" s="1369">
        <f t="shared" si="11"/>
        <v>7</v>
      </c>
      <c r="K28" s="1368">
        <f t="shared" ref="K28" si="12">J28+1</f>
        <v>8</v>
      </c>
      <c r="L28" s="1359">
        <f t="shared" ref="L28" si="13">K28+1</f>
        <v>9</v>
      </c>
      <c r="M28" s="1369">
        <f t="shared" ref="M28" si="14">L28+1</f>
        <v>10</v>
      </c>
      <c r="N28" s="1665">
        <v>11</v>
      </c>
    </row>
    <row r="29" spans="1:16" s="1350" customFormat="1">
      <c r="A29" s="1634" t="s">
        <v>580</v>
      </c>
      <c r="B29" s="1378">
        <f>'2.ДП'!V30</f>
        <v>0</v>
      </c>
      <c r="C29" s="1374" t="e">
        <f>+E29+H29+#REF!+K29+#REF!+#REF!</f>
        <v>#REF!</v>
      </c>
      <c r="D29" s="1363" t="e">
        <f>+F29+I29+#REF!+L29+#REF!+#REF!</f>
        <v>#REF!</v>
      </c>
      <c r="E29" s="1881">
        <v>1.3</v>
      </c>
      <c r="F29" s="1360">
        <f>E29*B29/10</f>
        <v>0</v>
      </c>
      <c r="G29" s="1525">
        <f>F29*G$26</f>
        <v>0</v>
      </c>
      <c r="H29" s="1886">
        <v>4</v>
      </c>
      <c r="I29" s="1360">
        <f>H29*B29/10</f>
        <v>0</v>
      </c>
      <c r="J29" s="1525">
        <f>I29*J$26</f>
        <v>0</v>
      </c>
      <c r="K29" s="1657"/>
      <c r="L29" s="1360">
        <f t="shared" ref="L29:L41" si="15">K29*B29/10</f>
        <v>0</v>
      </c>
      <c r="M29" s="1525">
        <f>L29*M$26</f>
        <v>0</v>
      </c>
      <c r="N29" s="1666">
        <f>G29+J29+M29</f>
        <v>0</v>
      </c>
    </row>
    <row r="30" spans="1:16" s="1350" customFormat="1">
      <c r="A30" s="1402" t="s">
        <v>581</v>
      </c>
      <c r="B30" s="1379">
        <f>'2.ДП'!V31</f>
        <v>0</v>
      </c>
      <c r="C30" s="1375" t="e">
        <f>+E30+H30+#REF!+K30+#REF!+#REF!</f>
        <v>#REF!</v>
      </c>
      <c r="D30" s="1364" t="e">
        <f>+F30+I30+#REF!+L30+#REF!+#REF!</f>
        <v>#REF!</v>
      </c>
      <c r="E30" s="1882">
        <v>3</v>
      </c>
      <c r="F30" s="1358">
        <f t="shared" ref="F30:F41" si="16">E30*B30/10</f>
        <v>0</v>
      </c>
      <c r="G30" s="1530">
        <f>F30*G$26</f>
        <v>0</v>
      </c>
      <c r="H30" s="1887">
        <v>6</v>
      </c>
      <c r="I30" s="1358">
        <f>H30*B30/10</f>
        <v>0</v>
      </c>
      <c r="J30" s="1530">
        <f>I30*J$26</f>
        <v>0</v>
      </c>
      <c r="K30" s="1658"/>
      <c r="L30" s="1358">
        <f t="shared" si="15"/>
        <v>0</v>
      </c>
      <c r="M30" s="1530">
        <f>L30*M$26</f>
        <v>0</v>
      </c>
      <c r="N30" s="1667">
        <f>G30+J30+M30</f>
        <v>0</v>
      </c>
    </row>
    <row r="31" spans="1:16" s="1350" customFormat="1">
      <c r="A31" s="1402" t="s">
        <v>582</v>
      </c>
      <c r="B31" s="1379">
        <f>'2.ДП'!V32</f>
        <v>0</v>
      </c>
      <c r="C31" s="1375" t="e">
        <f>+E31+H31+#REF!+K31+#REF!+#REF!</f>
        <v>#REF!</v>
      </c>
      <c r="D31" s="1364" t="e">
        <f>+F31+I31+#REF!+L31+#REF!+#REF!</f>
        <v>#REF!</v>
      </c>
      <c r="E31" s="1882">
        <v>1.3</v>
      </c>
      <c r="F31" s="1358">
        <f t="shared" si="16"/>
        <v>0</v>
      </c>
      <c r="G31" s="1530">
        <f t="shared" ref="G31:G41" si="17">F31*G$26</f>
        <v>0</v>
      </c>
      <c r="H31" s="1887">
        <v>5</v>
      </c>
      <c r="I31" s="1358">
        <f>H31*B31/10</f>
        <v>0</v>
      </c>
      <c r="J31" s="1530">
        <f t="shared" ref="J31:J41" si="18">I31*J$26</f>
        <v>0</v>
      </c>
      <c r="K31" s="1658"/>
      <c r="L31" s="1358">
        <f t="shared" si="15"/>
        <v>0</v>
      </c>
      <c r="M31" s="1530">
        <f t="shared" ref="M31:M41" si="19">L31*M$26</f>
        <v>0</v>
      </c>
      <c r="N31" s="1667">
        <f t="shared" ref="N31:N40" si="20">G31+J31+M31</f>
        <v>0</v>
      </c>
    </row>
    <row r="32" spans="1:16" s="1350" customFormat="1">
      <c r="A32" s="1402" t="s">
        <v>583</v>
      </c>
      <c r="B32" s="1379">
        <f>'2.ДП'!V33</f>
        <v>0</v>
      </c>
      <c r="C32" s="1375" t="e">
        <f>+E32+H32+#REF!+K32+#REF!+#REF!</f>
        <v>#REF!</v>
      </c>
      <c r="D32" s="1364" t="e">
        <f>+F32+I32+#REF!+L32+#REF!+#REF!</f>
        <v>#REF!</v>
      </c>
      <c r="E32" s="1882">
        <v>1</v>
      </c>
      <c r="F32" s="1358">
        <f t="shared" si="16"/>
        <v>0</v>
      </c>
      <c r="G32" s="1530">
        <f t="shared" si="17"/>
        <v>0</v>
      </c>
      <c r="H32" s="1887">
        <v>12</v>
      </c>
      <c r="I32" s="1358">
        <f t="shared" ref="I32:I41" si="21">H32*B32/10</f>
        <v>0</v>
      </c>
      <c r="J32" s="1530">
        <f t="shared" si="18"/>
        <v>0</v>
      </c>
      <c r="K32" s="1658"/>
      <c r="L32" s="1358">
        <f t="shared" si="15"/>
        <v>0</v>
      </c>
      <c r="M32" s="1530">
        <f t="shared" si="19"/>
        <v>0</v>
      </c>
      <c r="N32" s="1667">
        <f t="shared" si="20"/>
        <v>0</v>
      </c>
      <c r="O32" s="1351">
        <f>SUM(N32:N41)</f>
        <v>0</v>
      </c>
    </row>
    <row r="33" spans="1:16" s="1350" customFormat="1">
      <c r="A33" s="1403" t="s">
        <v>584</v>
      </c>
      <c r="B33" s="1379">
        <f>'2.ДП'!V34</f>
        <v>0</v>
      </c>
      <c r="C33" s="1375" t="e">
        <f>+E33+H33+#REF!+K33+#REF!+#REF!</f>
        <v>#REF!</v>
      </c>
      <c r="D33" s="1364" t="e">
        <f>+F33+I33+#REF!+L33+#REF!+#REF!</f>
        <v>#REF!</v>
      </c>
      <c r="E33" s="1882">
        <v>1</v>
      </c>
      <c r="F33" s="1358">
        <f t="shared" si="16"/>
        <v>0</v>
      </c>
      <c r="G33" s="1530">
        <f t="shared" si="17"/>
        <v>0</v>
      </c>
      <c r="H33" s="1887"/>
      <c r="I33" s="1358">
        <f t="shared" si="21"/>
        <v>0</v>
      </c>
      <c r="J33" s="1530">
        <f t="shared" si="18"/>
        <v>0</v>
      </c>
      <c r="K33" s="1658"/>
      <c r="L33" s="1358">
        <f t="shared" si="15"/>
        <v>0</v>
      </c>
      <c r="M33" s="1530">
        <f t="shared" si="19"/>
        <v>0</v>
      </c>
      <c r="N33" s="1667">
        <f t="shared" si="20"/>
        <v>0</v>
      </c>
    </row>
    <row r="34" spans="1:16" s="1350" customFormat="1">
      <c r="A34" s="1403" t="s">
        <v>585</v>
      </c>
      <c r="B34" s="1379">
        <f>'2.ДП'!V35</f>
        <v>0</v>
      </c>
      <c r="C34" s="1375" t="e">
        <f>+E34+H34+#REF!+K34+#REF!+#REF!</f>
        <v>#REF!</v>
      </c>
      <c r="D34" s="1364" t="e">
        <f>+F34+I34+#REF!+L34+#REF!+#REF!</f>
        <v>#REF!</v>
      </c>
      <c r="E34" s="1882">
        <v>1</v>
      </c>
      <c r="F34" s="1358">
        <f t="shared" si="16"/>
        <v>0</v>
      </c>
      <c r="G34" s="1530">
        <f t="shared" si="17"/>
        <v>0</v>
      </c>
      <c r="H34" s="1887">
        <v>3</v>
      </c>
      <c r="I34" s="1358">
        <f t="shared" si="21"/>
        <v>0</v>
      </c>
      <c r="J34" s="1530">
        <f t="shared" si="18"/>
        <v>0</v>
      </c>
      <c r="K34" s="1658"/>
      <c r="L34" s="1358">
        <f t="shared" si="15"/>
        <v>0</v>
      </c>
      <c r="M34" s="1530">
        <f t="shared" si="19"/>
        <v>0</v>
      </c>
      <c r="N34" s="1667">
        <f t="shared" si="20"/>
        <v>0</v>
      </c>
    </row>
    <row r="35" spans="1:16" s="1350" customFormat="1">
      <c r="A35" s="1403" t="s">
        <v>586</v>
      </c>
      <c r="B35" s="1379">
        <f>'2.ДП'!V36</f>
        <v>0</v>
      </c>
      <c r="C35" s="1375" t="e">
        <f>+E35+H35+#REF!+K35+#REF!+#REF!</f>
        <v>#REF!</v>
      </c>
      <c r="D35" s="1364" t="e">
        <f>+F35+I35+#REF!+L35+#REF!+#REF!</f>
        <v>#REF!</v>
      </c>
      <c r="E35" s="1882">
        <v>1</v>
      </c>
      <c r="F35" s="1358">
        <f t="shared" si="16"/>
        <v>0</v>
      </c>
      <c r="G35" s="1530">
        <f t="shared" si="17"/>
        <v>0</v>
      </c>
      <c r="H35" s="1887">
        <v>3</v>
      </c>
      <c r="I35" s="1358">
        <f t="shared" si="21"/>
        <v>0</v>
      </c>
      <c r="J35" s="1530">
        <f t="shared" si="18"/>
        <v>0</v>
      </c>
      <c r="K35" s="1658"/>
      <c r="L35" s="1358">
        <f t="shared" si="15"/>
        <v>0</v>
      </c>
      <c r="M35" s="1530">
        <f t="shared" si="19"/>
        <v>0</v>
      </c>
      <c r="N35" s="1667">
        <f t="shared" si="20"/>
        <v>0</v>
      </c>
    </row>
    <row r="36" spans="1:16" s="1350" customFormat="1">
      <c r="A36" s="1403" t="s">
        <v>587</v>
      </c>
      <c r="B36" s="1379">
        <f>'2.ДП'!V37</f>
        <v>0</v>
      </c>
      <c r="C36" s="1375" t="e">
        <f>+E36+H36+#REF!+K36+#REF!+#REF!</f>
        <v>#REF!</v>
      </c>
      <c r="D36" s="1364" t="e">
        <f>+F36+I36+#REF!+L36+#REF!+#REF!</f>
        <v>#REF!</v>
      </c>
      <c r="E36" s="1882">
        <v>1</v>
      </c>
      <c r="F36" s="1358">
        <f t="shared" si="16"/>
        <v>0</v>
      </c>
      <c r="G36" s="1530">
        <f t="shared" si="17"/>
        <v>0</v>
      </c>
      <c r="H36" s="1887">
        <v>2.5</v>
      </c>
      <c r="I36" s="1358">
        <f t="shared" si="21"/>
        <v>0</v>
      </c>
      <c r="J36" s="1530">
        <f t="shared" si="18"/>
        <v>0</v>
      </c>
      <c r="K36" s="1658"/>
      <c r="L36" s="1358">
        <f t="shared" si="15"/>
        <v>0</v>
      </c>
      <c r="M36" s="1530">
        <f t="shared" si="19"/>
        <v>0</v>
      </c>
      <c r="N36" s="1667">
        <f t="shared" si="20"/>
        <v>0</v>
      </c>
    </row>
    <row r="37" spans="1:16" s="1350" customFormat="1">
      <c r="A37" s="1403" t="s">
        <v>588</v>
      </c>
      <c r="B37" s="1379">
        <f>'2.ДП'!V38</f>
        <v>0</v>
      </c>
      <c r="C37" s="1375" t="e">
        <f>+E37+H37+#REF!+K37+#REF!+#REF!</f>
        <v>#REF!</v>
      </c>
      <c r="D37" s="1364" t="e">
        <f>+F37+I37+#REF!+L37+#REF!+#REF!</f>
        <v>#REF!</v>
      </c>
      <c r="E37" s="1882">
        <v>1</v>
      </c>
      <c r="F37" s="1358">
        <f t="shared" si="16"/>
        <v>0</v>
      </c>
      <c r="G37" s="1530">
        <f t="shared" si="17"/>
        <v>0</v>
      </c>
      <c r="H37" s="1887">
        <v>2.5</v>
      </c>
      <c r="I37" s="1358">
        <f t="shared" si="21"/>
        <v>0</v>
      </c>
      <c r="J37" s="1530">
        <f t="shared" si="18"/>
        <v>0</v>
      </c>
      <c r="K37" s="1658"/>
      <c r="L37" s="1358">
        <f t="shared" si="15"/>
        <v>0</v>
      </c>
      <c r="M37" s="1530">
        <f t="shared" si="19"/>
        <v>0</v>
      </c>
      <c r="N37" s="1667">
        <f t="shared" si="20"/>
        <v>0</v>
      </c>
    </row>
    <row r="38" spans="1:16" s="1350" customFormat="1">
      <c r="A38" s="1403" t="s">
        <v>589</v>
      </c>
      <c r="B38" s="1379">
        <f>'2.ДП'!V39</f>
        <v>0</v>
      </c>
      <c r="C38" s="1375" t="e">
        <f>+E38+H38+#REF!+K38+#REF!+#REF!</f>
        <v>#REF!</v>
      </c>
      <c r="D38" s="1364" t="e">
        <f>+F38+I38+#REF!+L38+#REF!+#REF!</f>
        <v>#REF!</v>
      </c>
      <c r="E38" s="1882">
        <v>1.2</v>
      </c>
      <c r="F38" s="1358">
        <f t="shared" si="16"/>
        <v>0</v>
      </c>
      <c r="G38" s="1530">
        <f t="shared" si="17"/>
        <v>0</v>
      </c>
      <c r="H38" s="1887">
        <v>2</v>
      </c>
      <c r="I38" s="1358">
        <f t="shared" si="21"/>
        <v>0</v>
      </c>
      <c r="J38" s="1530">
        <f t="shared" si="18"/>
        <v>0</v>
      </c>
      <c r="K38" s="1658"/>
      <c r="L38" s="1358">
        <f t="shared" si="15"/>
        <v>0</v>
      </c>
      <c r="M38" s="1530">
        <f t="shared" si="19"/>
        <v>0</v>
      </c>
      <c r="N38" s="1667">
        <f t="shared" si="20"/>
        <v>0</v>
      </c>
    </row>
    <row r="39" spans="1:16" s="1350" customFormat="1">
      <c r="A39" s="1403" t="s">
        <v>590</v>
      </c>
      <c r="B39" s="1379">
        <f>'2.ДП'!V40</f>
        <v>0</v>
      </c>
      <c r="C39" s="1375" t="e">
        <f>+E39+H39+#REF!+K39+#REF!+#REF!</f>
        <v>#REF!</v>
      </c>
      <c r="D39" s="1364" t="e">
        <f>+F39+I39+#REF!+L39+#REF!+#REF!</f>
        <v>#REF!</v>
      </c>
      <c r="E39" s="1882">
        <v>1.2</v>
      </c>
      <c r="F39" s="1358">
        <f t="shared" si="16"/>
        <v>0</v>
      </c>
      <c r="G39" s="1530">
        <f t="shared" si="17"/>
        <v>0</v>
      </c>
      <c r="H39" s="1887">
        <v>2</v>
      </c>
      <c r="I39" s="1358">
        <f t="shared" si="21"/>
        <v>0</v>
      </c>
      <c r="J39" s="1530">
        <f t="shared" si="18"/>
        <v>0</v>
      </c>
      <c r="K39" s="1658"/>
      <c r="L39" s="1358">
        <f t="shared" si="15"/>
        <v>0</v>
      </c>
      <c r="M39" s="1530">
        <f t="shared" si="19"/>
        <v>0</v>
      </c>
      <c r="N39" s="1667">
        <f t="shared" si="20"/>
        <v>0</v>
      </c>
    </row>
    <row r="40" spans="1:16" s="1350" customFormat="1">
      <c r="A40" s="1403" t="s">
        <v>591</v>
      </c>
      <c r="B40" s="1379">
        <f>'2.ДП'!V41</f>
        <v>0</v>
      </c>
      <c r="C40" s="1375" t="e">
        <f>+E40+H40+#REF!+K40+#REF!+#REF!</f>
        <v>#REF!</v>
      </c>
      <c r="D40" s="1364" t="e">
        <f>+F40+I40+#REF!+L40+#REF!+#REF!</f>
        <v>#REF!</v>
      </c>
      <c r="E40" s="1882">
        <v>1.5</v>
      </c>
      <c r="F40" s="1358">
        <f t="shared" si="16"/>
        <v>0</v>
      </c>
      <c r="G40" s="1530">
        <f t="shared" si="17"/>
        <v>0</v>
      </c>
      <c r="H40" s="1887">
        <v>2.5</v>
      </c>
      <c r="I40" s="1358">
        <f t="shared" si="21"/>
        <v>0</v>
      </c>
      <c r="J40" s="1530">
        <f t="shared" si="18"/>
        <v>0</v>
      </c>
      <c r="K40" s="1658"/>
      <c r="L40" s="1358">
        <f t="shared" si="15"/>
        <v>0</v>
      </c>
      <c r="M40" s="1530">
        <f t="shared" si="19"/>
        <v>0</v>
      </c>
      <c r="N40" s="1667">
        <f t="shared" si="20"/>
        <v>0</v>
      </c>
      <c r="P40" s="1351"/>
    </row>
    <row r="41" spans="1:16" s="1350" customFormat="1" ht="12" thickBot="1">
      <c r="A41" s="1404" t="s">
        <v>592</v>
      </c>
      <c r="B41" s="1635">
        <f>'2.ДП'!V42</f>
        <v>0</v>
      </c>
      <c r="C41" s="1376" t="e">
        <f>+E41+H41+#REF!+K41+#REF!+#REF!</f>
        <v>#REF!</v>
      </c>
      <c r="D41" s="1365" t="e">
        <f>+F41+I41+#REF!+L41+#REF!+#REF!</f>
        <v>#REF!</v>
      </c>
      <c r="E41" s="1885">
        <v>1.5</v>
      </c>
      <c r="F41" s="1361">
        <f t="shared" si="16"/>
        <v>0</v>
      </c>
      <c r="G41" s="1534">
        <f t="shared" si="17"/>
        <v>0</v>
      </c>
      <c r="H41" s="1889">
        <v>2.5</v>
      </c>
      <c r="I41" s="1361">
        <f t="shared" si="21"/>
        <v>0</v>
      </c>
      <c r="J41" s="1534">
        <f t="shared" si="18"/>
        <v>0</v>
      </c>
      <c r="K41" s="1659"/>
      <c r="L41" s="1361">
        <f t="shared" si="15"/>
        <v>0</v>
      </c>
      <c r="M41" s="1534">
        <f t="shared" si="19"/>
        <v>0</v>
      </c>
      <c r="N41" s="1668">
        <f>G41+J41</f>
        <v>0</v>
      </c>
      <c r="P41" s="1351"/>
    </row>
    <row r="42" spans="1:16" s="1352" customFormat="1" thickBot="1">
      <c r="A42" s="1874" t="s">
        <v>238</v>
      </c>
      <c r="B42" s="1875">
        <f>SUM(B29:B41)</f>
        <v>0</v>
      </c>
      <c r="C42" s="1876"/>
      <c r="D42" s="1877" t="e">
        <f>SUM(D29:D41)</f>
        <v>#REF!</v>
      </c>
      <c r="E42" s="1878"/>
      <c r="F42" s="1876">
        <f>SUM(F29:F41)</f>
        <v>0</v>
      </c>
      <c r="G42" s="1879">
        <f>SUM(G29:G41)</f>
        <v>0</v>
      </c>
      <c r="H42" s="1878"/>
      <c r="I42" s="1876">
        <f>SUM(I29:I41)</f>
        <v>0</v>
      </c>
      <c r="J42" s="1879">
        <f>SUM(J29:J41)</f>
        <v>0</v>
      </c>
      <c r="K42" s="1878"/>
      <c r="L42" s="1876">
        <f>SUM(L29:L41)</f>
        <v>0</v>
      </c>
      <c r="M42" s="1879">
        <f>SUM(M29:M41)</f>
        <v>0</v>
      </c>
      <c r="N42" s="1880">
        <f>SUM(N29:N41)</f>
        <v>0</v>
      </c>
      <c r="O42" s="1386">
        <f>+N42-N30</f>
        <v>0</v>
      </c>
    </row>
    <row r="43" spans="1:16" s="1339" customFormat="1" ht="19.5" customHeight="1">
      <c r="A43" s="2049" t="s">
        <v>336</v>
      </c>
      <c r="B43" s="2049"/>
      <c r="C43" s="2049"/>
      <c r="D43" s="2049"/>
      <c r="E43" s="2049"/>
      <c r="F43" s="2049"/>
      <c r="G43" s="2049"/>
      <c r="H43" s="2049"/>
      <c r="I43" s="2049"/>
      <c r="J43" s="2049"/>
      <c r="K43" s="2049"/>
      <c r="L43" s="2049"/>
      <c r="M43" s="2049"/>
      <c r="N43" s="2049"/>
    </row>
    <row r="44" spans="1:16" s="1328" customFormat="1" ht="12" thickBot="1">
      <c r="A44" s="1392">
        <f>+A24+1</f>
        <v>2022</v>
      </c>
      <c r="B44" s="1344"/>
      <c r="C44" s="1344"/>
      <c r="D44" s="1344"/>
      <c r="E44" s="1344"/>
      <c r="F44" s="1345"/>
      <c r="G44" s="1346"/>
      <c r="H44" s="1344"/>
      <c r="I44" s="1345"/>
      <c r="J44" s="1344"/>
      <c r="K44" s="1344"/>
      <c r="L44" s="1345"/>
      <c r="M44" s="1346"/>
      <c r="N44" s="1293"/>
    </row>
    <row r="45" spans="1:16" s="1328" customFormat="1" ht="13.5" customHeight="1" thickBot="1">
      <c r="A45" s="2044" t="s">
        <v>224</v>
      </c>
      <c r="B45" s="2051" t="s">
        <v>308</v>
      </c>
      <c r="C45" s="2045" t="s">
        <v>309</v>
      </c>
      <c r="D45" s="2053"/>
      <c r="E45" s="2058" t="s">
        <v>310</v>
      </c>
      <c r="F45" s="2059"/>
      <c r="G45" s="2059"/>
      <c r="H45" s="2059"/>
      <c r="I45" s="2059"/>
      <c r="J45" s="2059"/>
      <c r="K45" s="1397" t="s">
        <v>310</v>
      </c>
      <c r="L45" s="1398"/>
      <c r="M45" s="1398"/>
      <c r="N45" s="2056" t="s">
        <v>312</v>
      </c>
    </row>
    <row r="46" spans="1:16" s="1347" customFormat="1" ht="24.75" customHeight="1">
      <c r="A46" s="2050"/>
      <c r="B46" s="2052"/>
      <c r="C46" s="2054"/>
      <c r="D46" s="2055"/>
      <c r="E46" s="2044" t="s">
        <v>638</v>
      </c>
      <c r="F46" s="2045"/>
      <c r="G46" s="1904">
        <f>G6</f>
        <v>18</v>
      </c>
      <c r="H46" s="2044" t="s">
        <v>595</v>
      </c>
      <c r="I46" s="2045"/>
      <c r="J46" s="1884">
        <v>3</v>
      </c>
      <c r="K46" s="2044" t="s">
        <v>672</v>
      </c>
      <c r="L46" s="2046"/>
      <c r="M46" s="1670"/>
      <c r="N46" s="2057"/>
    </row>
    <row r="47" spans="1:16" s="1347" customFormat="1" ht="57" customHeight="1">
      <c r="A47" s="2050"/>
      <c r="B47" s="2052"/>
      <c r="C47" s="1648" t="s">
        <v>314</v>
      </c>
      <c r="D47" s="1649" t="s">
        <v>315</v>
      </c>
      <c r="E47" s="1649" t="s">
        <v>314</v>
      </c>
      <c r="F47" s="1348" t="s">
        <v>315</v>
      </c>
      <c r="G47" s="1373" t="s">
        <v>317</v>
      </c>
      <c r="H47" s="1650" t="s">
        <v>314</v>
      </c>
      <c r="I47" s="1348" t="s">
        <v>315</v>
      </c>
      <c r="J47" s="1373" t="s">
        <v>317</v>
      </c>
      <c r="K47" s="1650" t="s">
        <v>314</v>
      </c>
      <c r="L47" s="1348" t="s">
        <v>315</v>
      </c>
      <c r="M47" s="1367" t="s">
        <v>317</v>
      </c>
      <c r="N47" s="2057"/>
    </row>
    <row r="48" spans="1:16" s="1331" customFormat="1" ht="12" thickBot="1">
      <c r="A48" s="1400" t="s">
        <v>305</v>
      </c>
      <c r="B48" s="1377">
        <v>1</v>
      </c>
      <c r="C48" s="1366">
        <f>B48+1</f>
        <v>2</v>
      </c>
      <c r="D48" s="1359">
        <f t="shared" ref="D48:J48" si="22">C48+1</f>
        <v>3</v>
      </c>
      <c r="E48" s="1359">
        <v>2</v>
      </c>
      <c r="F48" s="1359">
        <f t="shared" si="22"/>
        <v>3</v>
      </c>
      <c r="G48" s="1362">
        <f t="shared" si="22"/>
        <v>4</v>
      </c>
      <c r="H48" s="1368">
        <f t="shared" si="22"/>
        <v>5</v>
      </c>
      <c r="I48" s="1359">
        <f t="shared" si="22"/>
        <v>6</v>
      </c>
      <c r="J48" s="1362">
        <f t="shared" si="22"/>
        <v>7</v>
      </c>
      <c r="K48" s="1673">
        <f t="shared" ref="K48" si="23">J48+1</f>
        <v>8</v>
      </c>
      <c r="L48" s="1674">
        <f t="shared" ref="L48" si="24">K48+1</f>
        <v>9</v>
      </c>
      <c r="M48" s="1675">
        <f t="shared" ref="M48" si="25">L48+1</f>
        <v>10</v>
      </c>
      <c r="N48" s="1554">
        <v>11</v>
      </c>
    </row>
    <row r="49" spans="1:16" s="1350" customFormat="1">
      <c r="A49" s="1634" t="s">
        <v>580</v>
      </c>
      <c r="B49" s="1378">
        <f>'2.ДП'!V50</f>
        <v>0</v>
      </c>
      <c r="C49" s="1374" t="e">
        <f>+E49+H49+#REF!+K49+#REF!+#REF!</f>
        <v>#REF!</v>
      </c>
      <c r="D49" s="1360" t="e">
        <f>+F49+I49+#REF!+L49+#REF!+#REF!</f>
        <v>#REF!</v>
      </c>
      <c r="E49" s="1881">
        <v>1.3</v>
      </c>
      <c r="F49" s="1360">
        <f>E49*B49/10</f>
        <v>0</v>
      </c>
      <c r="G49" s="1525">
        <f>F49*G$46</f>
        <v>0</v>
      </c>
      <c r="H49" s="1886">
        <v>4</v>
      </c>
      <c r="I49" s="1360">
        <f>H49*B49/10</f>
        <v>0</v>
      </c>
      <c r="J49" s="1525">
        <f>I49*J$46</f>
        <v>0</v>
      </c>
      <c r="K49" s="1671"/>
      <c r="L49" s="1672">
        <f t="shared" ref="L49:L61" si="26">K49*B49/10</f>
        <v>0</v>
      </c>
      <c r="M49" s="1525">
        <f>L49*M$46</f>
        <v>0</v>
      </c>
      <c r="N49" s="1676">
        <f>G49+J49+M49</f>
        <v>0</v>
      </c>
    </row>
    <row r="50" spans="1:16" s="1350" customFormat="1">
      <c r="A50" s="1402" t="s">
        <v>581</v>
      </c>
      <c r="B50" s="1379">
        <f>'2.ДП'!V51</f>
        <v>0</v>
      </c>
      <c r="C50" s="1375" t="e">
        <f>+E50+H50+#REF!+K50+#REF!+#REF!</f>
        <v>#REF!</v>
      </c>
      <c r="D50" s="1358" t="e">
        <f>+F50+I50+#REF!+L50+#REF!+#REF!</f>
        <v>#REF!</v>
      </c>
      <c r="E50" s="1882">
        <v>3</v>
      </c>
      <c r="F50" s="1358">
        <f t="shared" ref="F50:F61" si="27">E50*B50/10</f>
        <v>0</v>
      </c>
      <c r="G50" s="1530">
        <f>F50*G$46</f>
        <v>0</v>
      </c>
      <c r="H50" s="1887">
        <v>6</v>
      </c>
      <c r="I50" s="1358">
        <f>H50*B50/10</f>
        <v>0</v>
      </c>
      <c r="J50" s="1530">
        <f>I50*J$46</f>
        <v>0</v>
      </c>
      <c r="K50" s="1326"/>
      <c r="L50" s="1358">
        <f t="shared" si="26"/>
        <v>0</v>
      </c>
      <c r="M50" s="1530">
        <f>L50*M$46</f>
        <v>0</v>
      </c>
      <c r="N50" s="1371">
        <f>G50+J50+M50</f>
        <v>0</v>
      </c>
    </row>
    <row r="51" spans="1:16" s="1350" customFormat="1">
      <c r="A51" s="1402" t="s">
        <v>582</v>
      </c>
      <c r="B51" s="1379">
        <f>'2.ДП'!V52</f>
        <v>0</v>
      </c>
      <c r="C51" s="1375" t="e">
        <f>+E51+H51+#REF!+K51+#REF!+#REF!</f>
        <v>#REF!</v>
      </c>
      <c r="D51" s="1358" t="e">
        <f>+F51+I51+#REF!+L51+#REF!+#REF!</f>
        <v>#REF!</v>
      </c>
      <c r="E51" s="1882">
        <v>1.3</v>
      </c>
      <c r="F51" s="1358">
        <f t="shared" si="27"/>
        <v>0</v>
      </c>
      <c r="G51" s="1530">
        <f t="shared" ref="G51:G61" si="28">F51*G$46</f>
        <v>0</v>
      </c>
      <c r="H51" s="1887">
        <v>5</v>
      </c>
      <c r="I51" s="1358">
        <f>H51*B51/10</f>
        <v>0</v>
      </c>
      <c r="J51" s="1530">
        <f t="shared" ref="J51:J61" si="29">I51*J$46</f>
        <v>0</v>
      </c>
      <c r="K51" s="1326"/>
      <c r="L51" s="1358">
        <f t="shared" si="26"/>
        <v>0</v>
      </c>
      <c r="M51" s="1530">
        <f t="shared" ref="M51:M61" si="30">L51*M$46</f>
        <v>0</v>
      </c>
      <c r="N51" s="1371">
        <f t="shared" ref="N51:N61" si="31">G51+J51+M51</f>
        <v>0</v>
      </c>
    </row>
    <row r="52" spans="1:16" s="1350" customFormat="1">
      <c r="A52" s="1402" t="s">
        <v>583</v>
      </c>
      <c r="B52" s="1379">
        <f>'2.ДП'!V53</f>
        <v>0</v>
      </c>
      <c r="C52" s="1375" t="e">
        <f>+E52+H52+#REF!+K52+#REF!+#REF!</f>
        <v>#REF!</v>
      </c>
      <c r="D52" s="1358" t="e">
        <f>+F52+I52+#REF!+L52+#REF!+#REF!</f>
        <v>#REF!</v>
      </c>
      <c r="E52" s="1882">
        <v>1</v>
      </c>
      <c r="F52" s="1358">
        <f t="shared" si="27"/>
        <v>0</v>
      </c>
      <c r="G52" s="1530">
        <f t="shared" si="28"/>
        <v>0</v>
      </c>
      <c r="H52" s="1887">
        <v>12</v>
      </c>
      <c r="I52" s="1358">
        <f t="shared" ref="I52:I61" si="32">H52*B52/10</f>
        <v>0</v>
      </c>
      <c r="J52" s="1530">
        <f t="shared" si="29"/>
        <v>0</v>
      </c>
      <c r="K52" s="1326"/>
      <c r="L52" s="1358">
        <f t="shared" si="26"/>
        <v>0</v>
      </c>
      <c r="M52" s="1530">
        <f t="shared" si="30"/>
        <v>0</v>
      </c>
      <c r="N52" s="1371">
        <f t="shared" si="31"/>
        <v>0</v>
      </c>
      <c r="O52" s="1351">
        <f>SUM(N52:N61)</f>
        <v>0</v>
      </c>
    </row>
    <row r="53" spans="1:16" s="1350" customFormat="1">
      <c r="A53" s="1403" t="s">
        <v>584</v>
      </c>
      <c r="B53" s="1379">
        <f>'2.ДП'!V54</f>
        <v>0</v>
      </c>
      <c r="C53" s="1375" t="e">
        <f>+E53+H53+#REF!+K53+#REF!+#REF!</f>
        <v>#REF!</v>
      </c>
      <c r="D53" s="1358" t="e">
        <f>+F53+I53+#REF!+L53+#REF!+#REF!</f>
        <v>#REF!</v>
      </c>
      <c r="E53" s="1882">
        <v>1</v>
      </c>
      <c r="F53" s="1358">
        <f t="shared" si="27"/>
        <v>0</v>
      </c>
      <c r="G53" s="1530">
        <f t="shared" si="28"/>
        <v>0</v>
      </c>
      <c r="H53" s="1887"/>
      <c r="I53" s="1358">
        <f t="shared" si="32"/>
        <v>0</v>
      </c>
      <c r="J53" s="1530">
        <f t="shared" si="29"/>
        <v>0</v>
      </c>
      <c r="K53" s="1326"/>
      <c r="L53" s="1358">
        <f t="shared" si="26"/>
        <v>0</v>
      </c>
      <c r="M53" s="1530">
        <f t="shared" si="30"/>
        <v>0</v>
      </c>
      <c r="N53" s="1371">
        <f t="shared" si="31"/>
        <v>0</v>
      </c>
    </row>
    <row r="54" spans="1:16" s="1350" customFormat="1">
      <c r="A54" s="1403" t="s">
        <v>585</v>
      </c>
      <c r="B54" s="1379">
        <f>'2.ДП'!V55</f>
        <v>0</v>
      </c>
      <c r="C54" s="1375" t="e">
        <f>+E54+H54+#REF!+K54+#REF!+#REF!</f>
        <v>#REF!</v>
      </c>
      <c r="D54" s="1358" t="e">
        <f>+F54+I54+#REF!+L54+#REF!+#REF!</f>
        <v>#REF!</v>
      </c>
      <c r="E54" s="1882">
        <v>1</v>
      </c>
      <c r="F54" s="1358">
        <f t="shared" si="27"/>
        <v>0</v>
      </c>
      <c r="G54" s="1530">
        <f t="shared" si="28"/>
        <v>0</v>
      </c>
      <c r="H54" s="1887">
        <v>3</v>
      </c>
      <c r="I54" s="1358">
        <f t="shared" si="32"/>
        <v>0</v>
      </c>
      <c r="J54" s="1530">
        <f t="shared" si="29"/>
        <v>0</v>
      </c>
      <c r="K54" s="1326"/>
      <c r="L54" s="1358">
        <f t="shared" si="26"/>
        <v>0</v>
      </c>
      <c r="M54" s="1530">
        <f t="shared" si="30"/>
        <v>0</v>
      </c>
      <c r="N54" s="1371">
        <f t="shared" si="31"/>
        <v>0</v>
      </c>
    </row>
    <row r="55" spans="1:16" s="1350" customFormat="1">
      <c r="A55" s="1403" t="s">
        <v>586</v>
      </c>
      <c r="B55" s="1379">
        <f>'2.ДП'!V56</f>
        <v>0</v>
      </c>
      <c r="C55" s="1375" t="e">
        <f>+E55+H55+#REF!+K55+#REF!+#REF!</f>
        <v>#REF!</v>
      </c>
      <c r="D55" s="1358" t="e">
        <f>+F55+I55+#REF!+L55+#REF!+#REF!</f>
        <v>#REF!</v>
      </c>
      <c r="E55" s="1882">
        <v>1</v>
      </c>
      <c r="F55" s="1358">
        <f t="shared" si="27"/>
        <v>0</v>
      </c>
      <c r="G55" s="1530">
        <f t="shared" si="28"/>
        <v>0</v>
      </c>
      <c r="H55" s="1887">
        <v>3</v>
      </c>
      <c r="I55" s="1358">
        <f t="shared" si="32"/>
        <v>0</v>
      </c>
      <c r="J55" s="1530">
        <f t="shared" si="29"/>
        <v>0</v>
      </c>
      <c r="K55" s="1326"/>
      <c r="L55" s="1358">
        <f t="shared" si="26"/>
        <v>0</v>
      </c>
      <c r="M55" s="1530">
        <f t="shared" si="30"/>
        <v>0</v>
      </c>
      <c r="N55" s="1371">
        <f t="shared" si="31"/>
        <v>0</v>
      </c>
    </row>
    <row r="56" spans="1:16" s="1350" customFormat="1">
      <c r="A56" s="1403" t="s">
        <v>587</v>
      </c>
      <c r="B56" s="1379">
        <f>'2.ДП'!V57</f>
        <v>0</v>
      </c>
      <c r="C56" s="1375" t="e">
        <f>+E56+H56+#REF!+K56+#REF!+#REF!</f>
        <v>#REF!</v>
      </c>
      <c r="D56" s="1358" t="e">
        <f>+F56+I56+#REF!+L56+#REF!+#REF!</f>
        <v>#REF!</v>
      </c>
      <c r="E56" s="1882">
        <v>1</v>
      </c>
      <c r="F56" s="1358">
        <f t="shared" si="27"/>
        <v>0</v>
      </c>
      <c r="G56" s="1530">
        <f t="shared" si="28"/>
        <v>0</v>
      </c>
      <c r="H56" s="1887">
        <v>2.5</v>
      </c>
      <c r="I56" s="1358">
        <f t="shared" si="32"/>
        <v>0</v>
      </c>
      <c r="J56" s="1530">
        <f t="shared" si="29"/>
        <v>0</v>
      </c>
      <c r="K56" s="1326"/>
      <c r="L56" s="1358">
        <f t="shared" si="26"/>
        <v>0</v>
      </c>
      <c r="M56" s="1530">
        <f t="shared" si="30"/>
        <v>0</v>
      </c>
      <c r="N56" s="1371">
        <f t="shared" si="31"/>
        <v>0</v>
      </c>
    </row>
    <row r="57" spans="1:16" s="1350" customFormat="1">
      <c r="A57" s="1403" t="s">
        <v>588</v>
      </c>
      <c r="B57" s="1379">
        <f>'2.ДП'!V58</f>
        <v>0</v>
      </c>
      <c r="C57" s="1375" t="e">
        <f>+E57+H57+#REF!+K57+#REF!+#REF!</f>
        <v>#REF!</v>
      </c>
      <c r="D57" s="1358" t="e">
        <f>+F57+I57+#REF!+L57+#REF!+#REF!</f>
        <v>#REF!</v>
      </c>
      <c r="E57" s="1882">
        <v>1</v>
      </c>
      <c r="F57" s="1358">
        <f t="shared" si="27"/>
        <v>0</v>
      </c>
      <c r="G57" s="1530">
        <f t="shared" si="28"/>
        <v>0</v>
      </c>
      <c r="H57" s="1887">
        <v>2.5</v>
      </c>
      <c r="I57" s="1358">
        <f t="shared" si="32"/>
        <v>0</v>
      </c>
      <c r="J57" s="1530">
        <f t="shared" si="29"/>
        <v>0</v>
      </c>
      <c r="K57" s="1326"/>
      <c r="L57" s="1358">
        <f t="shared" si="26"/>
        <v>0</v>
      </c>
      <c r="M57" s="1530">
        <f t="shared" si="30"/>
        <v>0</v>
      </c>
      <c r="N57" s="1371">
        <f t="shared" si="31"/>
        <v>0</v>
      </c>
    </row>
    <row r="58" spans="1:16" s="1350" customFormat="1">
      <c r="A58" s="1403" t="s">
        <v>589</v>
      </c>
      <c r="B58" s="1379">
        <f>'2.ДП'!V59</f>
        <v>0</v>
      </c>
      <c r="C58" s="1375" t="e">
        <f>+E58+H58+#REF!+K58+#REF!+#REF!</f>
        <v>#REF!</v>
      </c>
      <c r="D58" s="1358" t="e">
        <f>+F58+I58+#REF!+L58+#REF!+#REF!</f>
        <v>#REF!</v>
      </c>
      <c r="E58" s="1882">
        <v>1.2</v>
      </c>
      <c r="F58" s="1358">
        <f t="shared" si="27"/>
        <v>0</v>
      </c>
      <c r="G58" s="1530">
        <f t="shared" si="28"/>
        <v>0</v>
      </c>
      <c r="H58" s="1887">
        <v>2</v>
      </c>
      <c r="I58" s="1358">
        <f t="shared" si="32"/>
        <v>0</v>
      </c>
      <c r="J58" s="1530">
        <f t="shared" si="29"/>
        <v>0</v>
      </c>
      <c r="K58" s="1326"/>
      <c r="L58" s="1358">
        <f t="shared" si="26"/>
        <v>0</v>
      </c>
      <c r="M58" s="1530">
        <f t="shared" si="30"/>
        <v>0</v>
      </c>
      <c r="N58" s="1371">
        <f t="shared" si="31"/>
        <v>0</v>
      </c>
    </row>
    <row r="59" spans="1:16" s="1350" customFormat="1">
      <c r="A59" s="1403" t="s">
        <v>590</v>
      </c>
      <c r="B59" s="1379">
        <f>'2.ДП'!V60</f>
        <v>0</v>
      </c>
      <c r="C59" s="1375" t="e">
        <f>+E59+H59+#REF!+K59+#REF!+#REF!</f>
        <v>#REF!</v>
      </c>
      <c r="D59" s="1358" t="e">
        <f>+F59+I59+#REF!+L59+#REF!+#REF!</f>
        <v>#REF!</v>
      </c>
      <c r="E59" s="1882">
        <v>1.2</v>
      </c>
      <c r="F59" s="1358">
        <f t="shared" si="27"/>
        <v>0</v>
      </c>
      <c r="G59" s="1530">
        <f t="shared" si="28"/>
        <v>0</v>
      </c>
      <c r="H59" s="1887">
        <v>2</v>
      </c>
      <c r="I59" s="1358">
        <f t="shared" si="32"/>
        <v>0</v>
      </c>
      <c r="J59" s="1530">
        <f t="shared" si="29"/>
        <v>0</v>
      </c>
      <c r="K59" s="1326"/>
      <c r="L59" s="1358">
        <f t="shared" si="26"/>
        <v>0</v>
      </c>
      <c r="M59" s="1530">
        <f t="shared" si="30"/>
        <v>0</v>
      </c>
      <c r="N59" s="1371">
        <f t="shared" si="31"/>
        <v>0</v>
      </c>
    </row>
    <row r="60" spans="1:16" s="1350" customFormat="1">
      <c r="A60" s="1403" t="s">
        <v>591</v>
      </c>
      <c r="B60" s="1379">
        <f>'2.ДП'!V61</f>
        <v>0</v>
      </c>
      <c r="C60" s="1375" t="e">
        <f>+E60+H60+#REF!+K60+#REF!+#REF!</f>
        <v>#REF!</v>
      </c>
      <c r="D60" s="1358" t="e">
        <f>+F60+I60+#REF!+L60+#REF!+#REF!</f>
        <v>#REF!</v>
      </c>
      <c r="E60" s="1882">
        <v>1.5</v>
      </c>
      <c r="F60" s="1358">
        <f t="shared" si="27"/>
        <v>0</v>
      </c>
      <c r="G60" s="1530">
        <f t="shared" si="28"/>
        <v>0</v>
      </c>
      <c r="H60" s="1887">
        <v>2.5</v>
      </c>
      <c r="I60" s="1358">
        <f t="shared" si="32"/>
        <v>0</v>
      </c>
      <c r="J60" s="1530">
        <f t="shared" si="29"/>
        <v>0</v>
      </c>
      <c r="K60" s="1326"/>
      <c r="L60" s="1358">
        <f t="shared" si="26"/>
        <v>0</v>
      </c>
      <c r="M60" s="1530">
        <f t="shared" si="30"/>
        <v>0</v>
      </c>
      <c r="N60" s="1371">
        <f t="shared" si="31"/>
        <v>0</v>
      </c>
      <c r="P60" s="1351"/>
    </row>
    <row r="61" spans="1:16" s="1350" customFormat="1" ht="12" thickBot="1">
      <c r="A61" s="1677" t="s">
        <v>592</v>
      </c>
      <c r="B61" s="1635">
        <f>'2.ДП'!V62</f>
        <v>0</v>
      </c>
      <c r="C61" s="1535" t="e">
        <f>+E61+H61+#REF!+K61+#REF!+#REF!</f>
        <v>#REF!</v>
      </c>
      <c r="D61" s="1536" t="e">
        <f>+F61+I61+#REF!+L61+#REF!+#REF!</f>
        <v>#REF!</v>
      </c>
      <c r="E61" s="1885">
        <v>1.5</v>
      </c>
      <c r="F61" s="1536">
        <f t="shared" si="27"/>
        <v>0</v>
      </c>
      <c r="G61" s="1530">
        <f t="shared" si="28"/>
        <v>0</v>
      </c>
      <c r="H61" s="1888">
        <v>2.5</v>
      </c>
      <c r="I61" s="1536">
        <f t="shared" si="32"/>
        <v>0</v>
      </c>
      <c r="J61" s="1530">
        <f t="shared" si="29"/>
        <v>0</v>
      </c>
      <c r="K61" s="1512"/>
      <c r="L61" s="1536">
        <f t="shared" si="26"/>
        <v>0</v>
      </c>
      <c r="M61" s="1530">
        <f t="shared" si="30"/>
        <v>0</v>
      </c>
      <c r="N61" s="1371">
        <f t="shared" si="31"/>
        <v>0</v>
      </c>
      <c r="P61" s="1351"/>
    </row>
    <row r="62" spans="1:16" s="1352" customFormat="1" thickBot="1">
      <c r="A62" s="1539" t="s">
        <v>238</v>
      </c>
      <c r="B62" s="1405">
        <f>SUM(B49:B61)</f>
        <v>0</v>
      </c>
      <c r="C62" s="1540"/>
      <c r="D62" s="1541" t="e">
        <f>SUM(D49:D61)</f>
        <v>#REF!</v>
      </c>
      <c r="E62" s="1541"/>
      <c r="F62" s="1541">
        <f>SUM(F49:F61)</f>
        <v>0</v>
      </c>
      <c r="G62" s="1542">
        <f>SUM(G49:G61)</f>
        <v>0</v>
      </c>
      <c r="H62" s="1543"/>
      <c r="I62" s="1541">
        <f>SUM(I49:I61)</f>
        <v>0</v>
      </c>
      <c r="J62" s="1544">
        <f>SUM(J49:J61)</f>
        <v>0</v>
      </c>
      <c r="K62" s="1541"/>
      <c r="L62" s="1541">
        <f>SUM(L49:L61)</f>
        <v>0</v>
      </c>
      <c r="M62" s="1541">
        <f>SUM(M49:M61)</f>
        <v>0</v>
      </c>
      <c r="N62" s="1545">
        <f>SUM(N49:N61)</f>
        <v>0</v>
      </c>
      <c r="O62" s="1386">
        <f>+N62-N50</f>
        <v>0</v>
      </c>
    </row>
    <row r="63" spans="1:16" s="1339" customFormat="1" ht="23.25" customHeight="1">
      <c r="A63" s="2048" t="s">
        <v>336</v>
      </c>
      <c r="B63" s="2048"/>
      <c r="C63" s="2048"/>
      <c r="D63" s="2048"/>
      <c r="E63" s="2048"/>
      <c r="F63" s="2048"/>
      <c r="G63" s="2048"/>
      <c r="H63" s="2048"/>
      <c r="I63" s="2048"/>
      <c r="J63" s="2048"/>
      <c r="K63" s="2048"/>
      <c r="L63" s="2048"/>
      <c r="M63" s="2048"/>
      <c r="N63" s="2048"/>
    </row>
    <row r="64" spans="1:16" s="1328" customFormat="1" ht="12" thickBot="1">
      <c r="A64" s="1392">
        <f>+A44+1</f>
        <v>2023</v>
      </c>
      <c r="B64" s="1344"/>
      <c r="C64" s="1344"/>
      <c r="D64" s="1344"/>
      <c r="E64" s="1344"/>
      <c r="F64" s="1345"/>
      <c r="G64" s="1346"/>
      <c r="H64" s="1344"/>
      <c r="I64" s="1345"/>
      <c r="J64" s="1344"/>
      <c r="K64" s="1344"/>
      <c r="L64" s="1345"/>
      <c r="M64" s="1346"/>
      <c r="N64" s="1293"/>
    </row>
    <row r="65" spans="1:16" s="1328" customFormat="1" ht="13.5" customHeight="1" thickBot="1">
      <c r="A65" s="2044" t="s">
        <v>224</v>
      </c>
      <c r="B65" s="2051" t="s">
        <v>308</v>
      </c>
      <c r="C65" s="2045" t="s">
        <v>309</v>
      </c>
      <c r="D65" s="2053"/>
      <c r="E65" s="2071" t="s">
        <v>310</v>
      </c>
      <c r="F65" s="2069"/>
      <c r="G65" s="2069"/>
      <c r="H65" s="2069"/>
      <c r="I65" s="2069"/>
      <c r="J65" s="2069"/>
      <c r="K65" s="1397" t="s">
        <v>310</v>
      </c>
      <c r="L65" s="1398"/>
      <c r="M65" s="1398"/>
      <c r="N65" s="2056" t="s">
        <v>312</v>
      </c>
    </row>
    <row r="66" spans="1:16" s="1347" customFormat="1" ht="24.75" customHeight="1">
      <c r="A66" s="2050"/>
      <c r="B66" s="2052"/>
      <c r="C66" s="2054"/>
      <c r="D66" s="2065"/>
      <c r="E66" s="2044" t="s">
        <v>638</v>
      </c>
      <c r="F66" s="2045"/>
      <c r="G66" s="1904">
        <f>G6</f>
        <v>18</v>
      </c>
      <c r="H66" s="2044" t="s">
        <v>595</v>
      </c>
      <c r="I66" s="2045"/>
      <c r="J66" s="1884">
        <v>3</v>
      </c>
      <c r="K66" s="2044" t="s">
        <v>672</v>
      </c>
      <c r="L66" s="2046"/>
      <c r="M66" s="1670"/>
      <c r="N66" s="2057"/>
    </row>
    <row r="67" spans="1:16" s="1347" customFormat="1" ht="57" customHeight="1">
      <c r="A67" s="2050"/>
      <c r="B67" s="2052"/>
      <c r="C67" s="1648" t="s">
        <v>314</v>
      </c>
      <c r="D67" s="1647" t="s">
        <v>315</v>
      </c>
      <c r="E67" s="1650" t="s">
        <v>314</v>
      </c>
      <c r="F67" s="1348" t="s">
        <v>315</v>
      </c>
      <c r="G67" s="1373" t="s">
        <v>317</v>
      </c>
      <c r="H67" s="1650" t="s">
        <v>314</v>
      </c>
      <c r="I67" s="1348" t="s">
        <v>315</v>
      </c>
      <c r="J67" s="1367" t="s">
        <v>317</v>
      </c>
      <c r="K67" s="1648" t="s">
        <v>314</v>
      </c>
      <c r="L67" s="1348" t="s">
        <v>315</v>
      </c>
      <c r="M67" s="1349" t="s">
        <v>317</v>
      </c>
      <c r="N67" s="2057"/>
    </row>
    <row r="68" spans="1:16" s="1331" customFormat="1" ht="12" thickBot="1">
      <c r="A68" s="1683" t="s">
        <v>305</v>
      </c>
      <c r="B68" s="1554">
        <v>1</v>
      </c>
      <c r="C68" s="1684">
        <f>B68+1</f>
        <v>2</v>
      </c>
      <c r="D68" s="1685">
        <f t="shared" ref="D68:J68" si="33">C68+1</f>
        <v>3</v>
      </c>
      <c r="E68" s="1673">
        <v>2</v>
      </c>
      <c r="F68" s="1674">
        <f t="shared" si="33"/>
        <v>3</v>
      </c>
      <c r="G68" s="1685">
        <f t="shared" si="33"/>
        <v>4</v>
      </c>
      <c r="H68" s="1673">
        <f t="shared" si="33"/>
        <v>5</v>
      </c>
      <c r="I68" s="1674">
        <f t="shared" si="33"/>
        <v>6</v>
      </c>
      <c r="J68" s="1675">
        <f t="shared" si="33"/>
        <v>7</v>
      </c>
      <c r="K68" s="1673">
        <f t="shared" ref="K68" si="34">J68+1</f>
        <v>8</v>
      </c>
      <c r="L68" s="1674">
        <f t="shared" ref="L68" si="35">K68+1</f>
        <v>9</v>
      </c>
      <c r="M68" s="1675">
        <f t="shared" ref="M68" si="36">L68+1</f>
        <v>10</v>
      </c>
      <c r="N68" s="1554">
        <v>11</v>
      </c>
    </row>
    <row r="69" spans="1:16" s="1350" customFormat="1">
      <c r="A69" s="1678" t="s">
        <v>580</v>
      </c>
      <c r="B69" s="1679">
        <f>'2.ДП'!V70</f>
        <v>0</v>
      </c>
      <c r="C69" s="1680" t="e">
        <f>+E69+H69+#REF!+K69+#REF!+#REF!</f>
        <v>#REF!</v>
      </c>
      <c r="D69" s="1681" t="e">
        <f>+F69+I69+#REF!+L69+#REF!+#REF!</f>
        <v>#REF!</v>
      </c>
      <c r="E69" s="1893">
        <v>1.3</v>
      </c>
      <c r="F69" s="1672">
        <f>E69*B69/10</f>
        <v>0</v>
      </c>
      <c r="G69" s="1661">
        <f>F69*G$66</f>
        <v>0</v>
      </c>
      <c r="H69" s="1901">
        <v>4</v>
      </c>
      <c r="I69" s="1672">
        <f>H69*B69/10</f>
        <v>0</v>
      </c>
      <c r="J69" s="1661">
        <f>I69*J$66</f>
        <v>0</v>
      </c>
      <c r="K69" s="1682"/>
      <c r="L69" s="1672">
        <f t="shared" ref="L69:L81" si="37">K69*B69/10</f>
        <v>0</v>
      </c>
      <c r="M69" s="1661">
        <f>L69*M$66</f>
        <v>0</v>
      </c>
      <c r="N69" s="1676">
        <f>G69+J69+M69</f>
        <v>0</v>
      </c>
    </row>
    <row r="70" spans="1:16" s="1350" customFormat="1">
      <c r="A70" s="1548" t="s">
        <v>581</v>
      </c>
      <c r="B70" s="1379">
        <f>'2.ДП'!V71</f>
        <v>0</v>
      </c>
      <c r="C70" s="1375" t="e">
        <f>+E70+H70+#REF!+K70+#REF!+#REF!</f>
        <v>#REF!</v>
      </c>
      <c r="D70" s="1364" t="e">
        <f>+F70+I70+#REF!+L70+#REF!+#REF!</f>
        <v>#REF!</v>
      </c>
      <c r="E70" s="1882">
        <v>3</v>
      </c>
      <c r="F70" s="1358">
        <f t="shared" ref="F70:F81" si="38">E70*B70/10</f>
        <v>0</v>
      </c>
      <c r="G70" s="1530">
        <f t="shared" ref="G70:G81" si="39">F70*G$66</f>
        <v>0</v>
      </c>
      <c r="H70" s="1902">
        <v>6</v>
      </c>
      <c r="I70" s="1358">
        <f>H70*B70/10</f>
        <v>0</v>
      </c>
      <c r="J70" s="1530">
        <f t="shared" ref="J70:J81" si="40">I70*J$66</f>
        <v>0</v>
      </c>
      <c r="K70" s="1549"/>
      <c r="L70" s="1358">
        <f t="shared" si="37"/>
        <v>0</v>
      </c>
      <c r="M70" s="1530">
        <f t="shared" ref="M70:M81" si="41">L70*M$66</f>
        <v>0</v>
      </c>
      <c r="N70" s="1371">
        <f>G70+J70+M70</f>
        <v>0</v>
      </c>
    </row>
    <row r="71" spans="1:16" s="1350" customFormat="1">
      <c r="A71" s="1548" t="s">
        <v>582</v>
      </c>
      <c r="B71" s="1379">
        <f>'2.ДП'!V72</f>
        <v>0</v>
      </c>
      <c r="C71" s="1375" t="e">
        <f>+E71+H71+#REF!+K71+#REF!+#REF!</f>
        <v>#REF!</v>
      </c>
      <c r="D71" s="1364" t="e">
        <f>+F71+I71+#REF!+L71+#REF!+#REF!</f>
        <v>#REF!</v>
      </c>
      <c r="E71" s="1882">
        <v>1.3</v>
      </c>
      <c r="F71" s="1358">
        <f t="shared" si="38"/>
        <v>0</v>
      </c>
      <c r="G71" s="1530">
        <f t="shared" si="39"/>
        <v>0</v>
      </c>
      <c r="H71" s="1902">
        <v>5</v>
      </c>
      <c r="I71" s="1358">
        <f>H71*B71/10</f>
        <v>0</v>
      </c>
      <c r="J71" s="1530">
        <f t="shared" si="40"/>
        <v>0</v>
      </c>
      <c r="K71" s="1549"/>
      <c r="L71" s="1358">
        <f t="shared" si="37"/>
        <v>0</v>
      </c>
      <c r="M71" s="1530">
        <f t="shared" si="41"/>
        <v>0</v>
      </c>
      <c r="N71" s="1371">
        <f t="shared" ref="N71:N81" si="42">G71+J71+M71</f>
        <v>0</v>
      </c>
    </row>
    <row r="72" spans="1:16" s="1350" customFormat="1">
      <c r="A72" s="1548" t="s">
        <v>583</v>
      </c>
      <c r="B72" s="1379">
        <f>'2.ДП'!V73</f>
        <v>0</v>
      </c>
      <c r="C72" s="1375" t="e">
        <f>+E72+H72+#REF!+K72+#REF!+#REF!</f>
        <v>#REF!</v>
      </c>
      <c r="D72" s="1364" t="e">
        <f>+F72+I72+#REF!+L72+#REF!+#REF!</f>
        <v>#REF!</v>
      </c>
      <c r="E72" s="1882">
        <v>1</v>
      </c>
      <c r="F72" s="1358">
        <f t="shared" si="38"/>
        <v>0</v>
      </c>
      <c r="G72" s="1530">
        <f t="shared" si="39"/>
        <v>0</v>
      </c>
      <c r="H72" s="1902">
        <v>12</v>
      </c>
      <c r="I72" s="1358">
        <f t="shared" ref="I72:I81" si="43">H72*B72/10</f>
        <v>0</v>
      </c>
      <c r="J72" s="1530">
        <f t="shared" si="40"/>
        <v>0</v>
      </c>
      <c r="K72" s="1549"/>
      <c r="L72" s="1358">
        <f t="shared" si="37"/>
        <v>0</v>
      </c>
      <c r="M72" s="1530">
        <f t="shared" si="41"/>
        <v>0</v>
      </c>
      <c r="N72" s="1371">
        <f t="shared" si="42"/>
        <v>0</v>
      </c>
      <c r="O72" s="1351">
        <f>SUM(N72:N81)</f>
        <v>0</v>
      </c>
    </row>
    <row r="73" spans="1:16" s="1350" customFormat="1">
      <c r="A73" s="1550" t="s">
        <v>584</v>
      </c>
      <c r="B73" s="1379">
        <f>'2.ДП'!V74</f>
        <v>0</v>
      </c>
      <c r="C73" s="1375" t="e">
        <f>+E73+H73+#REF!+K73+#REF!+#REF!</f>
        <v>#REF!</v>
      </c>
      <c r="D73" s="1364" t="e">
        <f>+F73+I73+#REF!+L73+#REF!+#REF!</f>
        <v>#REF!</v>
      </c>
      <c r="E73" s="1882">
        <v>1</v>
      </c>
      <c r="F73" s="1358">
        <f t="shared" si="38"/>
        <v>0</v>
      </c>
      <c r="G73" s="1530">
        <f t="shared" si="39"/>
        <v>0</v>
      </c>
      <c r="H73" s="1902"/>
      <c r="I73" s="1358">
        <f t="shared" si="43"/>
        <v>0</v>
      </c>
      <c r="J73" s="1530">
        <f t="shared" si="40"/>
        <v>0</v>
      </c>
      <c r="K73" s="1549"/>
      <c r="L73" s="1358">
        <f t="shared" si="37"/>
        <v>0</v>
      </c>
      <c r="M73" s="1530">
        <f t="shared" si="41"/>
        <v>0</v>
      </c>
      <c r="N73" s="1371">
        <f t="shared" si="42"/>
        <v>0</v>
      </c>
    </row>
    <row r="74" spans="1:16" s="1350" customFormat="1">
      <c r="A74" s="1550" t="s">
        <v>585</v>
      </c>
      <c r="B74" s="1379">
        <f>'2.ДП'!V75</f>
        <v>0</v>
      </c>
      <c r="C74" s="1375" t="e">
        <f>+E74+H74+#REF!+K74+#REF!+#REF!</f>
        <v>#REF!</v>
      </c>
      <c r="D74" s="1364" t="e">
        <f>+F74+I74+#REF!+L74+#REF!+#REF!</f>
        <v>#REF!</v>
      </c>
      <c r="E74" s="1882">
        <v>1</v>
      </c>
      <c r="F74" s="1358">
        <f t="shared" si="38"/>
        <v>0</v>
      </c>
      <c r="G74" s="1530">
        <f t="shared" si="39"/>
        <v>0</v>
      </c>
      <c r="H74" s="1902">
        <v>3</v>
      </c>
      <c r="I74" s="1358">
        <f t="shared" si="43"/>
        <v>0</v>
      </c>
      <c r="J74" s="1530">
        <f t="shared" si="40"/>
        <v>0</v>
      </c>
      <c r="K74" s="1549"/>
      <c r="L74" s="1358">
        <f t="shared" si="37"/>
        <v>0</v>
      </c>
      <c r="M74" s="1530">
        <f t="shared" si="41"/>
        <v>0</v>
      </c>
      <c r="N74" s="1371">
        <f t="shared" si="42"/>
        <v>0</v>
      </c>
    </row>
    <row r="75" spans="1:16" s="1350" customFormat="1">
      <c r="A75" s="1550" t="s">
        <v>586</v>
      </c>
      <c r="B75" s="1379">
        <f>'2.ДП'!V76</f>
        <v>0</v>
      </c>
      <c r="C75" s="1375" t="e">
        <f>+E75+H75+#REF!+K75+#REF!+#REF!</f>
        <v>#REF!</v>
      </c>
      <c r="D75" s="1364" t="e">
        <f>+F75+I75+#REF!+L75+#REF!+#REF!</f>
        <v>#REF!</v>
      </c>
      <c r="E75" s="1882">
        <v>1</v>
      </c>
      <c r="F75" s="1358">
        <f t="shared" si="38"/>
        <v>0</v>
      </c>
      <c r="G75" s="1530">
        <f t="shared" si="39"/>
        <v>0</v>
      </c>
      <c r="H75" s="1902">
        <v>3</v>
      </c>
      <c r="I75" s="1358">
        <f t="shared" si="43"/>
        <v>0</v>
      </c>
      <c r="J75" s="1530">
        <f t="shared" si="40"/>
        <v>0</v>
      </c>
      <c r="K75" s="1549"/>
      <c r="L75" s="1358">
        <f t="shared" si="37"/>
        <v>0</v>
      </c>
      <c r="M75" s="1530">
        <f t="shared" si="41"/>
        <v>0</v>
      </c>
      <c r="N75" s="1371">
        <f t="shared" si="42"/>
        <v>0</v>
      </c>
    </row>
    <row r="76" spans="1:16" s="1350" customFormat="1">
      <c r="A76" s="1550" t="s">
        <v>587</v>
      </c>
      <c r="B76" s="1379">
        <f>'2.ДП'!V77</f>
        <v>0</v>
      </c>
      <c r="C76" s="1375" t="e">
        <f>+E76+H76+#REF!+K76+#REF!+#REF!</f>
        <v>#REF!</v>
      </c>
      <c r="D76" s="1364" t="e">
        <f>+F76+I76+#REF!+L76+#REF!+#REF!</f>
        <v>#REF!</v>
      </c>
      <c r="E76" s="1882">
        <v>1</v>
      </c>
      <c r="F76" s="1358">
        <f t="shared" si="38"/>
        <v>0</v>
      </c>
      <c r="G76" s="1530">
        <f t="shared" si="39"/>
        <v>0</v>
      </c>
      <c r="H76" s="1902">
        <v>2.5</v>
      </c>
      <c r="I76" s="1358">
        <f t="shared" si="43"/>
        <v>0</v>
      </c>
      <c r="J76" s="1530">
        <f t="shared" si="40"/>
        <v>0</v>
      </c>
      <c r="K76" s="1549"/>
      <c r="L76" s="1358">
        <f t="shared" si="37"/>
        <v>0</v>
      </c>
      <c r="M76" s="1530">
        <f t="shared" si="41"/>
        <v>0</v>
      </c>
      <c r="N76" s="1371">
        <f t="shared" si="42"/>
        <v>0</v>
      </c>
    </row>
    <row r="77" spans="1:16" s="1350" customFormat="1">
      <c r="A77" s="1550" t="s">
        <v>588</v>
      </c>
      <c r="B77" s="1379">
        <f>'2.ДП'!V78</f>
        <v>0</v>
      </c>
      <c r="C77" s="1375" t="e">
        <f>+E77+H77+#REF!+K77+#REF!+#REF!</f>
        <v>#REF!</v>
      </c>
      <c r="D77" s="1364" t="e">
        <f>+F77+I77+#REF!+L77+#REF!+#REF!</f>
        <v>#REF!</v>
      </c>
      <c r="E77" s="1882">
        <v>1</v>
      </c>
      <c r="F77" s="1358">
        <f t="shared" si="38"/>
        <v>0</v>
      </c>
      <c r="G77" s="1530">
        <f t="shared" si="39"/>
        <v>0</v>
      </c>
      <c r="H77" s="1902">
        <v>2.5</v>
      </c>
      <c r="I77" s="1358">
        <f t="shared" si="43"/>
        <v>0</v>
      </c>
      <c r="J77" s="1530">
        <f t="shared" si="40"/>
        <v>0</v>
      </c>
      <c r="K77" s="1549"/>
      <c r="L77" s="1358">
        <f t="shared" si="37"/>
        <v>0</v>
      </c>
      <c r="M77" s="1530">
        <f t="shared" si="41"/>
        <v>0</v>
      </c>
      <c r="N77" s="1371">
        <f t="shared" si="42"/>
        <v>0</v>
      </c>
    </row>
    <row r="78" spans="1:16" s="1350" customFormat="1">
      <c r="A78" s="1550" t="s">
        <v>589</v>
      </c>
      <c r="B78" s="1379">
        <f>'2.ДП'!V79</f>
        <v>0</v>
      </c>
      <c r="C78" s="1375" t="e">
        <f>+E78+H78+#REF!+K78+#REF!+#REF!</f>
        <v>#REF!</v>
      </c>
      <c r="D78" s="1364" t="e">
        <f>+F78+I78+#REF!+L78+#REF!+#REF!</f>
        <v>#REF!</v>
      </c>
      <c r="E78" s="1882">
        <v>1.2</v>
      </c>
      <c r="F78" s="1358">
        <f t="shared" si="38"/>
        <v>0</v>
      </c>
      <c r="G78" s="1530">
        <f t="shared" si="39"/>
        <v>0</v>
      </c>
      <c r="H78" s="1902">
        <v>2</v>
      </c>
      <c r="I78" s="1358">
        <f t="shared" si="43"/>
        <v>0</v>
      </c>
      <c r="J78" s="1530">
        <f t="shared" si="40"/>
        <v>0</v>
      </c>
      <c r="K78" s="1549"/>
      <c r="L78" s="1358">
        <f t="shared" si="37"/>
        <v>0</v>
      </c>
      <c r="M78" s="1530">
        <f t="shared" si="41"/>
        <v>0</v>
      </c>
      <c r="N78" s="1371">
        <f t="shared" si="42"/>
        <v>0</v>
      </c>
    </row>
    <row r="79" spans="1:16" s="1350" customFormat="1">
      <c r="A79" s="1550" t="s">
        <v>590</v>
      </c>
      <c r="B79" s="1379">
        <f>'2.ДП'!V80</f>
        <v>0</v>
      </c>
      <c r="C79" s="1375" t="e">
        <f>+E79+H79+#REF!+K79+#REF!+#REF!</f>
        <v>#REF!</v>
      </c>
      <c r="D79" s="1364" t="e">
        <f>+F79+I79+#REF!+L79+#REF!+#REF!</f>
        <v>#REF!</v>
      </c>
      <c r="E79" s="1882">
        <v>1.2</v>
      </c>
      <c r="F79" s="1358">
        <f t="shared" si="38"/>
        <v>0</v>
      </c>
      <c r="G79" s="1530">
        <f t="shared" si="39"/>
        <v>0</v>
      </c>
      <c r="H79" s="1902">
        <v>2</v>
      </c>
      <c r="I79" s="1358">
        <f t="shared" si="43"/>
        <v>0</v>
      </c>
      <c r="J79" s="1530">
        <f t="shared" si="40"/>
        <v>0</v>
      </c>
      <c r="K79" s="1549"/>
      <c r="L79" s="1358">
        <f t="shared" si="37"/>
        <v>0</v>
      </c>
      <c r="M79" s="1530">
        <f t="shared" si="41"/>
        <v>0</v>
      </c>
      <c r="N79" s="1371">
        <f t="shared" si="42"/>
        <v>0</v>
      </c>
    </row>
    <row r="80" spans="1:16" s="1350" customFormat="1">
      <c r="A80" s="1550" t="s">
        <v>591</v>
      </c>
      <c r="B80" s="1379">
        <f>'2.ДП'!V81</f>
        <v>0</v>
      </c>
      <c r="C80" s="1375" t="e">
        <f>+E80+H80+#REF!+K80+#REF!+#REF!</f>
        <v>#REF!</v>
      </c>
      <c r="D80" s="1364" t="e">
        <f>+F80+I80+#REF!+L80+#REF!+#REF!</f>
        <v>#REF!</v>
      </c>
      <c r="E80" s="1882">
        <v>1.5</v>
      </c>
      <c r="F80" s="1358">
        <f t="shared" si="38"/>
        <v>0</v>
      </c>
      <c r="G80" s="1530">
        <f t="shared" si="39"/>
        <v>0</v>
      </c>
      <c r="H80" s="1902">
        <v>2.5</v>
      </c>
      <c r="I80" s="1358">
        <f t="shared" si="43"/>
        <v>0</v>
      </c>
      <c r="J80" s="1530">
        <f t="shared" si="40"/>
        <v>0</v>
      </c>
      <c r="K80" s="1549"/>
      <c r="L80" s="1358">
        <f t="shared" si="37"/>
        <v>0</v>
      </c>
      <c r="M80" s="1530">
        <f t="shared" si="41"/>
        <v>0</v>
      </c>
      <c r="N80" s="1371">
        <f t="shared" si="42"/>
        <v>0</v>
      </c>
      <c r="P80" s="1351"/>
    </row>
    <row r="81" spans="1:16" s="1350" customFormat="1" ht="12" thickBot="1">
      <c r="A81" s="1686" t="s">
        <v>592</v>
      </c>
      <c r="B81" s="1687">
        <f>'2.ДП'!V82</f>
        <v>0</v>
      </c>
      <c r="C81" s="1535" t="e">
        <f>+E81+H81+#REF!+K81+#REF!+#REF!</f>
        <v>#REF!</v>
      </c>
      <c r="D81" s="1537" t="e">
        <f>+F81+I81+#REF!+L81+#REF!+#REF!</f>
        <v>#REF!</v>
      </c>
      <c r="E81" s="1894">
        <v>1.5</v>
      </c>
      <c r="F81" s="1536">
        <f t="shared" si="38"/>
        <v>0</v>
      </c>
      <c r="G81" s="1688">
        <f t="shared" si="39"/>
        <v>0</v>
      </c>
      <c r="H81" s="1903">
        <v>2.5</v>
      </c>
      <c r="I81" s="1536">
        <f t="shared" si="43"/>
        <v>0</v>
      </c>
      <c r="J81" s="1688">
        <f t="shared" si="40"/>
        <v>0</v>
      </c>
      <c r="K81" s="1689"/>
      <c r="L81" s="1536">
        <f t="shared" si="37"/>
        <v>0</v>
      </c>
      <c r="M81" s="1688">
        <f t="shared" si="41"/>
        <v>0</v>
      </c>
      <c r="N81" s="1538">
        <f t="shared" si="42"/>
        <v>0</v>
      </c>
      <c r="P81" s="1351"/>
    </row>
    <row r="82" spans="1:16" s="1352" customFormat="1" thickBot="1">
      <c r="A82" s="1854" t="s">
        <v>238</v>
      </c>
      <c r="B82" s="1855">
        <f>SUM(B69:B81)</f>
        <v>0</v>
      </c>
      <c r="C82" s="1856"/>
      <c r="D82" s="1857" t="e">
        <f>SUM(D69:D81)</f>
        <v>#REF!</v>
      </c>
      <c r="E82" s="1858"/>
      <c r="F82" s="1859">
        <f>SUM(F69:F81)</f>
        <v>0</v>
      </c>
      <c r="G82" s="1857">
        <f>SUM(G69:G81)</f>
        <v>0</v>
      </c>
      <c r="H82" s="1858"/>
      <c r="I82" s="1859">
        <f>SUM(I69:I81)</f>
        <v>0</v>
      </c>
      <c r="J82" s="1860">
        <f>SUM(J69:J81)</f>
        <v>0</v>
      </c>
      <c r="K82" s="1856"/>
      <c r="L82" s="1859">
        <f>SUM(L69:L81)</f>
        <v>0</v>
      </c>
      <c r="M82" s="1859">
        <f>SUM(M69:M81)</f>
        <v>0</v>
      </c>
      <c r="N82" s="1861">
        <f>SUM(N69:N81)</f>
        <v>0</v>
      </c>
      <c r="O82" s="1386">
        <f>+N82-N70</f>
        <v>0</v>
      </c>
    </row>
    <row r="83" spans="1:16" s="1339" customFormat="1" ht="21" customHeight="1">
      <c r="A83" s="2048" t="s">
        <v>336</v>
      </c>
      <c r="B83" s="2048"/>
      <c r="C83" s="2048"/>
      <c r="D83" s="2048"/>
      <c r="E83" s="2048"/>
      <c r="F83" s="2048"/>
      <c r="G83" s="2048"/>
      <c r="H83" s="2048"/>
      <c r="I83" s="2048"/>
      <c r="J83" s="2048"/>
      <c r="K83" s="2048"/>
      <c r="L83" s="2048"/>
      <c r="M83" s="2048"/>
      <c r="N83" s="2048"/>
    </row>
    <row r="84" spans="1:16" s="1328" customFormat="1" ht="12" thickBot="1">
      <c r="A84" s="1392">
        <f>+A64+1</f>
        <v>2024</v>
      </c>
      <c r="B84" s="1344"/>
      <c r="C84" s="1344"/>
      <c r="D84" s="1344"/>
      <c r="E84" s="1344"/>
      <c r="F84" s="1345"/>
      <c r="G84" s="1346"/>
      <c r="H84" s="1344"/>
      <c r="I84" s="1345"/>
      <c r="J84" s="1344"/>
      <c r="K84" s="1344"/>
      <c r="L84" s="1345"/>
      <c r="M84" s="1346"/>
      <c r="N84" s="1293"/>
    </row>
    <row r="85" spans="1:16" s="1328" customFormat="1" ht="13.5" customHeight="1" thickBot="1">
      <c r="A85" s="2044" t="s">
        <v>224</v>
      </c>
      <c r="B85" s="2051" t="s">
        <v>308</v>
      </c>
      <c r="C85" s="2045" t="s">
        <v>309</v>
      </c>
      <c r="D85" s="2053"/>
      <c r="E85" s="2071" t="s">
        <v>310</v>
      </c>
      <c r="F85" s="2069"/>
      <c r="G85" s="2069"/>
      <c r="H85" s="2069"/>
      <c r="I85" s="2069"/>
      <c r="J85" s="2069"/>
      <c r="K85" s="1397" t="s">
        <v>310</v>
      </c>
      <c r="L85" s="1398"/>
      <c r="M85" s="1398"/>
      <c r="N85" s="2056" t="s">
        <v>312</v>
      </c>
    </row>
    <row r="86" spans="1:16" s="1347" customFormat="1" ht="24.75" customHeight="1">
      <c r="A86" s="2050"/>
      <c r="B86" s="2052"/>
      <c r="C86" s="2054"/>
      <c r="D86" s="2065"/>
      <c r="E86" s="2044" t="s">
        <v>638</v>
      </c>
      <c r="F86" s="2045"/>
      <c r="G86" s="1904">
        <f>G6</f>
        <v>18</v>
      </c>
      <c r="H86" s="2044" t="s">
        <v>595</v>
      </c>
      <c r="I86" s="2045"/>
      <c r="J86" s="1884">
        <v>3</v>
      </c>
      <c r="K86" s="2044" t="s">
        <v>672</v>
      </c>
      <c r="L86" s="2046"/>
      <c r="M86" s="1670"/>
      <c r="N86" s="2057"/>
    </row>
    <row r="87" spans="1:16" s="1347" customFormat="1" ht="57" customHeight="1">
      <c r="A87" s="2050"/>
      <c r="B87" s="2052"/>
      <c r="C87" s="1648" t="s">
        <v>314</v>
      </c>
      <c r="D87" s="1647" t="s">
        <v>315</v>
      </c>
      <c r="E87" s="1650" t="s">
        <v>314</v>
      </c>
      <c r="F87" s="1348" t="s">
        <v>315</v>
      </c>
      <c r="G87" s="1373" t="s">
        <v>317</v>
      </c>
      <c r="H87" s="1650" t="s">
        <v>314</v>
      </c>
      <c r="I87" s="1348" t="s">
        <v>315</v>
      </c>
      <c r="J87" s="1367" t="s">
        <v>317</v>
      </c>
      <c r="K87" s="1648" t="s">
        <v>314</v>
      </c>
      <c r="L87" s="1348" t="s">
        <v>315</v>
      </c>
      <c r="M87" s="1349" t="s">
        <v>317</v>
      </c>
      <c r="N87" s="2057"/>
    </row>
    <row r="88" spans="1:16" s="1331" customFormat="1" ht="12" thickBot="1">
      <c r="A88" s="1683" t="s">
        <v>305</v>
      </c>
      <c r="B88" s="1554">
        <v>1</v>
      </c>
      <c r="C88" s="1684">
        <f>B88+1</f>
        <v>2</v>
      </c>
      <c r="D88" s="1685">
        <f t="shared" ref="D88:J88" si="44">C88+1</f>
        <v>3</v>
      </c>
      <c r="E88" s="1673">
        <v>2</v>
      </c>
      <c r="F88" s="1674">
        <f t="shared" si="44"/>
        <v>3</v>
      </c>
      <c r="G88" s="1685">
        <f t="shared" si="44"/>
        <v>4</v>
      </c>
      <c r="H88" s="1673">
        <f t="shared" si="44"/>
        <v>5</v>
      </c>
      <c r="I88" s="1674">
        <f t="shared" si="44"/>
        <v>6</v>
      </c>
      <c r="J88" s="1675">
        <f t="shared" si="44"/>
        <v>7</v>
      </c>
      <c r="K88" s="1673">
        <f t="shared" ref="K88" si="45">J88+1</f>
        <v>8</v>
      </c>
      <c r="L88" s="1674">
        <f t="shared" ref="L88" si="46">K88+1</f>
        <v>9</v>
      </c>
      <c r="M88" s="1675">
        <f t="shared" ref="M88" si="47">L88+1</f>
        <v>10</v>
      </c>
      <c r="N88" s="1554">
        <v>11</v>
      </c>
    </row>
    <row r="89" spans="1:16" s="1350" customFormat="1">
      <c r="A89" s="1546" t="s">
        <v>580</v>
      </c>
      <c r="B89" s="1378">
        <f>'2.ДП'!V90</f>
        <v>0</v>
      </c>
      <c r="C89" s="1374" t="e">
        <f>+E89+H89+#REF!+K89+#REF!+#REF!</f>
        <v>#REF!</v>
      </c>
      <c r="D89" s="1363" t="e">
        <f>+F89+I89+#REF!+L89+#REF!+#REF!</f>
        <v>#REF!</v>
      </c>
      <c r="E89" s="1862">
        <v>1.3</v>
      </c>
      <c r="F89" s="1360">
        <f>E89*B89/10</f>
        <v>0</v>
      </c>
      <c r="G89" s="1363">
        <f>F89*G$86</f>
        <v>0</v>
      </c>
      <c r="H89" s="1898">
        <v>4</v>
      </c>
      <c r="I89" s="1360">
        <f>H89*B89/10</f>
        <v>0</v>
      </c>
      <c r="J89" s="1370">
        <f>I89*J$86</f>
        <v>0</v>
      </c>
      <c r="K89" s="1547"/>
      <c r="L89" s="1360">
        <f t="shared" ref="L89:L101" si="48">K89*B89/10</f>
        <v>0</v>
      </c>
      <c r="M89" s="1363">
        <f>L89*M$86</f>
        <v>0</v>
      </c>
      <c r="N89" s="1370">
        <f>G89+J89+M89</f>
        <v>0</v>
      </c>
    </row>
    <row r="90" spans="1:16" s="1350" customFormat="1">
      <c r="A90" s="1548" t="s">
        <v>581</v>
      </c>
      <c r="B90" s="1379">
        <f>'2.ДП'!V91</f>
        <v>0</v>
      </c>
      <c r="C90" s="1375" t="e">
        <f>+E90+H90+#REF!+K90+#REF!+#REF!</f>
        <v>#REF!</v>
      </c>
      <c r="D90" s="1364" t="e">
        <f>+F90+I90+#REF!+L90+#REF!+#REF!</f>
        <v>#REF!</v>
      </c>
      <c r="E90" s="1863">
        <v>3</v>
      </c>
      <c r="F90" s="1358">
        <f t="shared" ref="F90:F101" si="49">E90*B90/10</f>
        <v>0</v>
      </c>
      <c r="G90" s="1364">
        <f>F90*G$86</f>
        <v>0</v>
      </c>
      <c r="H90" s="1899">
        <v>6</v>
      </c>
      <c r="I90" s="1358">
        <f>H90*B90/10</f>
        <v>0</v>
      </c>
      <c r="J90" s="1371">
        <f>I90*J$86</f>
        <v>0</v>
      </c>
      <c r="K90" s="1549"/>
      <c r="L90" s="1358">
        <f t="shared" si="48"/>
        <v>0</v>
      </c>
      <c r="M90" s="1364">
        <f>L90*M$86</f>
        <v>0</v>
      </c>
      <c r="N90" s="1371">
        <f>G90+J90+M90</f>
        <v>0</v>
      </c>
    </row>
    <row r="91" spans="1:16" s="1350" customFormat="1">
      <c r="A91" s="1548" t="s">
        <v>582</v>
      </c>
      <c r="B91" s="1379">
        <f>'2.ДП'!V92</f>
        <v>0</v>
      </c>
      <c r="C91" s="1375" t="e">
        <f>+E91+H91+#REF!+K91+#REF!+#REF!</f>
        <v>#REF!</v>
      </c>
      <c r="D91" s="1364" t="e">
        <f>+F91+I91+#REF!+L91+#REF!+#REF!</f>
        <v>#REF!</v>
      </c>
      <c r="E91" s="1863">
        <v>1.3</v>
      </c>
      <c r="F91" s="1358">
        <f t="shared" si="49"/>
        <v>0</v>
      </c>
      <c r="G91" s="1364">
        <f t="shared" ref="G91:G100" si="50">F91*G$86</f>
        <v>0</v>
      </c>
      <c r="H91" s="1899">
        <v>5</v>
      </c>
      <c r="I91" s="1358">
        <f>H91*B91/10</f>
        <v>0</v>
      </c>
      <c r="J91" s="1371">
        <f t="shared" ref="J91:J100" si="51">I91*J$86</f>
        <v>0</v>
      </c>
      <c r="K91" s="1549"/>
      <c r="L91" s="1358">
        <f t="shared" si="48"/>
        <v>0</v>
      </c>
      <c r="M91" s="1364">
        <f t="shared" ref="M91:M100" si="52">L91*M$86</f>
        <v>0</v>
      </c>
      <c r="N91" s="1371">
        <f t="shared" ref="N91:N101" si="53">G91+J91+M91</f>
        <v>0</v>
      </c>
    </row>
    <row r="92" spans="1:16" s="1350" customFormat="1">
      <c r="A92" s="1548" t="s">
        <v>583</v>
      </c>
      <c r="B92" s="1379">
        <f>'2.ДП'!V93</f>
        <v>0</v>
      </c>
      <c r="C92" s="1375" t="e">
        <f>+E92+H92+#REF!+K92+#REF!+#REF!</f>
        <v>#REF!</v>
      </c>
      <c r="D92" s="1364" t="e">
        <f>+F92+I92+#REF!+L92+#REF!+#REF!</f>
        <v>#REF!</v>
      </c>
      <c r="E92" s="1863">
        <v>1</v>
      </c>
      <c r="F92" s="1358">
        <f t="shared" si="49"/>
        <v>0</v>
      </c>
      <c r="G92" s="1364">
        <f t="shared" si="50"/>
        <v>0</v>
      </c>
      <c r="H92" s="1899">
        <v>12</v>
      </c>
      <c r="I92" s="1358">
        <f t="shared" ref="I92:I101" si="54">H92*B92/10</f>
        <v>0</v>
      </c>
      <c r="J92" s="1371">
        <f t="shared" si="51"/>
        <v>0</v>
      </c>
      <c r="K92" s="1549"/>
      <c r="L92" s="1358">
        <f t="shared" si="48"/>
        <v>0</v>
      </c>
      <c r="M92" s="1364">
        <f t="shared" si="52"/>
        <v>0</v>
      </c>
      <c r="N92" s="1371">
        <f t="shared" si="53"/>
        <v>0</v>
      </c>
      <c r="O92" s="1351">
        <f>SUM(N92:N101)</f>
        <v>0</v>
      </c>
    </row>
    <row r="93" spans="1:16" s="1350" customFormat="1">
      <c r="A93" s="1550" t="s">
        <v>584</v>
      </c>
      <c r="B93" s="1379">
        <f>'2.ДП'!V94</f>
        <v>0</v>
      </c>
      <c r="C93" s="1375" t="e">
        <f>+E93+H93+#REF!+K93+#REF!+#REF!</f>
        <v>#REF!</v>
      </c>
      <c r="D93" s="1364" t="e">
        <f>+F93+I93+#REF!+L93+#REF!+#REF!</f>
        <v>#REF!</v>
      </c>
      <c r="E93" s="1863">
        <v>1</v>
      </c>
      <c r="F93" s="1358">
        <f t="shared" si="49"/>
        <v>0</v>
      </c>
      <c r="G93" s="1364">
        <f t="shared" si="50"/>
        <v>0</v>
      </c>
      <c r="H93" s="1899"/>
      <c r="I93" s="1358">
        <f t="shared" si="54"/>
        <v>0</v>
      </c>
      <c r="J93" s="1371">
        <f t="shared" si="51"/>
        <v>0</v>
      </c>
      <c r="K93" s="1549"/>
      <c r="L93" s="1358">
        <f t="shared" si="48"/>
        <v>0</v>
      </c>
      <c r="M93" s="1364">
        <f t="shared" si="52"/>
        <v>0</v>
      </c>
      <c r="N93" s="1371">
        <f t="shared" si="53"/>
        <v>0</v>
      </c>
    </row>
    <row r="94" spans="1:16" s="1350" customFormat="1">
      <c r="A94" s="1550" t="s">
        <v>585</v>
      </c>
      <c r="B94" s="1379">
        <f>'2.ДП'!V95</f>
        <v>0</v>
      </c>
      <c r="C94" s="1375" t="e">
        <f>+E94+H94+#REF!+K94+#REF!+#REF!</f>
        <v>#REF!</v>
      </c>
      <c r="D94" s="1364" t="e">
        <f>+F94+I94+#REF!+L94+#REF!+#REF!</f>
        <v>#REF!</v>
      </c>
      <c r="E94" s="1863">
        <v>1</v>
      </c>
      <c r="F94" s="1358">
        <f t="shared" si="49"/>
        <v>0</v>
      </c>
      <c r="G94" s="1364">
        <f t="shared" si="50"/>
        <v>0</v>
      </c>
      <c r="H94" s="1899">
        <v>3</v>
      </c>
      <c r="I94" s="1358">
        <f t="shared" si="54"/>
        <v>0</v>
      </c>
      <c r="J94" s="1371">
        <f t="shared" si="51"/>
        <v>0</v>
      </c>
      <c r="K94" s="1549"/>
      <c r="L94" s="1358">
        <f t="shared" si="48"/>
        <v>0</v>
      </c>
      <c r="M94" s="1364">
        <f t="shared" si="52"/>
        <v>0</v>
      </c>
      <c r="N94" s="1371">
        <f t="shared" si="53"/>
        <v>0</v>
      </c>
    </row>
    <row r="95" spans="1:16" s="1350" customFormat="1">
      <c r="A95" s="1550" t="s">
        <v>586</v>
      </c>
      <c r="B95" s="1379">
        <f>'2.ДП'!V96</f>
        <v>0</v>
      </c>
      <c r="C95" s="1375" t="e">
        <f>+E95+H95+#REF!+K95+#REF!+#REF!</f>
        <v>#REF!</v>
      </c>
      <c r="D95" s="1364" t="e">
        <f>+F95+I95+#REF!+L95+#REF!+#REF!</f>
        <v>#REF!</v>
      </c>
      <c r="E95" s="1863">
        <v>1</v>
      </c>
      <c r="F95" s="1358">
        <f t="shared" si="49"/>
        <v>0</v>
      </c>
      <c r="G95" s="1364">
        <f t="shared" si="50"/>
        <v>0</v>
      </c>
      <c r="H95" s="1899">
        <v>3</v>
      </c>
      <c r="I95" s="1358">
        <f t="shared" si="54"/>
        <v>0</v>
      </c>
      <c r="J95" s="1371">
        <f t="shared" si="51"/>
        <v>0</v>
      </c>
      <c r="K95" s="1549"/>
      <c r="L95" s="1358">
        <f t="shared" si="48"/>
        <v>0</v>
      </c>
      <c r="M95" s="1364">
        <f t="shared" si="52"/>
        <v>0</v>
      </c>
      <c r="N95" s="1371">
        <f t="shared" si="53"/>
        <v>0</v>
      </c>
    </row>
    <row r="96" spans="1:16" s="1350" customFormat="1">
      <c r="A96" s="1550" t="s">
        <v>587</v>
      </c>
      <c r="B96" s="1379">
        <f>'2.ДП'!V97</f>
        <v>0</v>
      </c>
      <c r="C96" s="1375" t="e">
        <f>+E96+H96+#REF!+K96+#REF!+#REF!</f>
        <v>#REF!</v>
      </c>
      <c r="D96" s="1364" t="e">
        <f>+F96+I96+#REF!+L96+#REF!+#REF!</f>
        <v>#REF!</v>
      </c>
      <c r="E96" s="1863">
        <v>1</v>
      </c>
      <c r="F96" s="1358">
        <f t="shared" si="49"/>
        <v>0</v>
      </c>
      <c r="G96" s="1364">
        <f t="shared" si="50"/>
        <v>0</v>
      </c>
      <c r="H96" s="1899">
        <v>2.5</v>
      </c>
      <c r="I96" s="1358">
        <f t="shared" si="54"/>
        <v>0</v>
      </c>
      <c r="J96" s="1371">
        <f t="shared" si="51"/>
        <v>0</v>
      </c>
      <c r="K96" s="1549"/>
      <c r="L96" s="1358">
        <f t="shared" si="48"/>
        <v>0</v>
      </c>
      <c r="M96" s="1364">
        <f t="shared" si="52"/>
        <v>0</v>
      </c>
      <c r="N96" s="1371">
        <f t="shared" si="53"/>
        <v>0</v>
      </c>
    </row>
    <row r="97" spans="1:16" s="1350" customFormat="1">
      <c r="A97" s="1550" t="s">
        <v>588</v>
      </c>
      <c r="B97" s="1379">
        <f>'2.ДП'!V98</f>
        <v>0</v>
      </c>
      <c r="C97" s="1375" t="e">
        <f>+E97+H97+#REF!+K97+#REF!+#REF!</f>
        <v>#REF!</v>
      </c>
      <c r="D97" s="1364" t="e">
        <f>+F97+I97+#REF!+L97+#REF!+#REF!</f>
        <v>#REF!</v>
      </c>
      <c r="E97" s="1863">
        <v>1</v>
      </c>
      <c r="F97" s="1358">
        <f t="shared" si="49"/>
        <v>0</v>
      </c>
      <c r="G97" s="1364">
        <f t="shared" si="50"/>
        <v>0</v>
      </c>
      <c r="H97" s="1899">
        <v>2.5</v>
      </c>
      <c r="I97" s="1358">
        <f t="shared" si="54"/>
        <v>0</v>
      </c>
      <c r="J97" s="1371">
        <f t="shared" si="51"/>
        <v>0</v>
      </c>
      <c r="K97" s="1549"/>
      <c r="L97" s="1358">
        <f t="shared" si="48"/>
        <v>0</v>
      </c>
      <c r="M97" s="1364">
        <f t="shared" si="52"/>
        <v>0</v>
      </c>
      <c r="N97" s="1371">
        <f t="shared" si="53"/>
        <v>0</v>
      </c>
    </row>
    <row r="98" spans="1:16" s="1350" customFormat="1">
      <c r="A98" s="1550" t="s">
        <v>589</v>
      </c>
      <c r="B98" s="1379">
        <f>'2.ДП'!V99</f>
        <v>0</v>
      </c>
      <c r="C98" s="1375" t="e">
        <f>+E98+H98+#REF!+K98+#REF!+#REF!</f>
        <v>#REF!</v>
      </c>
      <c r="D98" s="1364" t="e">
        <f>+F98+I98+#REF!+L98+#REF!+#REF!</f>
        <v>#REF!</v>
      </c>
      <c r="E98" s="1863">
        <v>1.2</v>
      </c>
      <c r="F98" s="1358">
        <f t="shared" si="49"/>
        <v>0</v>
      </c>
      <c r="G98" s="1364">
        <f t="shared" si="50"/>
        <v>0</v>
      </c>
      <c r="H98" s="1899">
        <v>2</v>
      </c>
      <c r="I98" s="1358">
        <f t="shared" si="54"/>
        <v>0</v>
      </c>
      <c r="J98" s="1371">
        <f t="shared" si="51"/>
        <v>0</v>
      </c>
      <c r="K98" s="1549"/>
      <c r="L98" s="1358">
        <f t="shared" si="48"/>
        <v>0</v>
      </c>
      <c r="M98" s="1364">
        <f t="shared" si="52"/>
        <v>0</v>
      </c>
      <c r="N98" s="1371">
        <f t="shared" si="53"/>
        <v>0</v>
      </c>
    </row>
    <row r="99" spans="1:16" s="1350" customFormat="1">
      <c r="A99" s="1550" t="s">
        <v>590</v>
      </c>
      <c r="B99" s="1379">
        <f>'2.ДП'!V100</f>
        <v>0</v>
      </c>
      <c r="C99" s="1375" t="e">
        <f>+E99+H99+#REF!+K99+#REF!+#REF!</f>
        <v>#REF!</v>
      </c>
      <c r="D99" s="1364" t="e">
        <f>+F99+I99+#REF!+L99+#REF!+#REF!</f>
        <v>#REF!</v>
      </c>
      <c r="E99" s="1863">
        <v>1.2</v>
      </c>
      <c r="F99" s="1358">
        <f t="shared" si="49"/>
        <v>0</v>
      </c>
      <c r="G99" s="1364">
        <f t="shared" si="50"/>
        <v>0</v>
      </c>
      <c r="H99" s="1899">
        <v>2</v>
      </c>
      <c r="I99" s="1358">
        <f t="shared" si="54"/>
        <v>0</v>
      </c>
      <c r="J99" s="1371">
        <f t="shared" si="51"/>
        <v>0</v>
      </c>
      <c r="K99" s="1549"/>
      <c r="L99" s="1358">
        <f t="shared" si="48"/>
        <v>0</v>
      </c>
      <c r="M99" s="1364">
        <f t="shared" si="52"/>
        <v>0</v>
      </c>
      <c r="N99" s="1371">
        <f t="shared" si="53"/>
        <v>0</v>
      </c>
    </row>
    <row r="100" spans="1:16" s="1350" customFormat="1">
      <c r="A100" s="1550" t="s">
        <v>591</v>
      </c>
      <c r="B100" s="1379">
        <f>'2.ДП'!V101</f>
        <v>0</v>
      </c>
      <c r="C100" s="1375" t="e">
        <f>+E100+H100+#REF!+K100+#REF!+#REF!</f>
        <v>#REF!</v>
      </c>
      <c r="D100" s="1364" t="e">
        <f>+F100+I100+#REF!+L100+#REF!+#REF!</f>
        <v>#REF!</v>
      </c>
      <c r="E100" s="1863">
        <v>1.5</v>
      </c>
      <c r="F100" s="1358">
        <f t="shared" si="49"/>
        <v>0</v>
      </c>
      <c r="G100" s="1364">
        <f t="shared" si="50"/>
        <v>0</v>
      </c>
      <c r="H100" s="1899">
        <v>2.5</v>
      </c>
      <c r="I100" s="1358">
        <f t="shared" si="54"/>
        <v>0</v>
      </c>
      <c r="J100" s="1371">
        <f t="shared" si="51"/>
        <v>0</v>
      </c>
      <c r="K100" s="1549"/>
      <c r="L100" s="1358">
        <f t="shared" si="48"/>
        <v>0</v>
      </c>
      <c r="M100" s="1364">
        <f t="shared" si="52"/>
        <v>0</v>
      </c>
      <c r="N100" s="1371">
        <f t="shared" si="53"/>
        <v>0</v>
      </c>
      <c r="P100" s="1351"/>
    </row>
    <row r="101" spans="1:16" s="1350" customFormat="1" ht="12" thickBot="1">
      <c r="A101" s="1551" t="s">
        <v>592</v>
      </c>
      <c r="B101" s="1635">
        <f>'2.ДП'!V102</f>
        <v>0</v>
      </c>
      <c r="C101" s="1376" t="e">
        <f>+E101+H101+#REF!+K101+#REF!+#REF!</f>
        <v>#REF!</v>
      </c>
      <c r="D101" s="1365" t="e">
        <f>+F101+I101+#REF!+L101+#REF!+#REF!</f>
        <v>#REF!</v>
      </c>
      <c r="E101" s="1864">
        <v>1.5</v>
      </c>
      <c r="F101" s="1361">
        <f t="shared" si="49"/>
        <v>0</v>
      </c>
      <c r="G101" s="1365">
        <f>F101*$G$6</f>
        <v>0</v>
      </c>
      <c r="H101" s="1900">
        <v>2.5</v>
      </c>
      <c r="I101" s="1361">
        <f t="shared" si="54"/>
        <v>0</v>
      </c>
      <c r="J101" s="1372">
        <f>I101*$G$6</f>
        <v>0</v>
      </c>
      <c r="K101" s="1552"/>
      <c r="L101" s="1361">
        <f t="shared" si="48"/>
        <v>0</v>
      </c>
      <c r="M101" s="1365">
        <f>L101*$G$6</f>
        <v>0</v>
      </c>
      <c r="N101" s="1372">
        <f t="shared" si="53"/>
        <v>0</v>
      </c>
      <c r="P101" s="1351"/>
    </row>
    <row r="102" spans="1:16" s="1352" customFormat="1" thickBot="1">
      <c r="A102" s="1854" t="s">
        <v>238</v>
      </c>
      <c r="B102" s="1855">
        <f>SUM(B89:B101)</f>
        <v>0</v>
      </c>
      <c r="C102" s="1856"/>
      <c r="D102" s="1857" t="e">
        <f>SUM(D89:D101)</f>
        <v>#REF!</v>
      </c>
      <c r="E102" s="1858"/>
      <c r="F102" s="1859">
        <f>SUM(F89:F101)</f>
        <v>0</v>
      </c>
      <c r="G102" s="1857">
        <f>SUM(G89:G101)</f>
        <v>0</v>
      </c>
      <c r="H102" s="1858"/>
      <c r="I102" s="1859">
        <f>SUM(I89:I101)</f>
        <v>0</v>
      </c>
      <c r="J102" s="1860">
        <f>SUM(J89:J101)</f>
        <v>0</v>
      </c>
      <c r="K102" s="1856"/>
      <c r="L102" s="1859">
        <f>SUM(L89:L101)</f>
        <v>0</v>
      </c>
      <c r="M102" s="1859">
        <f>SUM(M89:M101)</f>
        <v>0</v>
      </c>
      <c r="N102" s="1861">
        <f>SUM(N89:N101)</f>
        <v>0</v>
      </c>
      <c r="O102" s="1389">
        <f>+N102-N90</f>
        <v>0</v>
      </c>
    </row>
    <row r="103" spans="1:16" s="1339" customFormat="1" ht="19.5" customHeight="1">
      <c r="A103" s="2048" t="s">
        <v>336</v>
      </c>
      <c r="B103" s="2048"/>
      <c r="C103" s="2048"/>
      <c r="D103" s="2048"/>
      <c r="E103" s="2048"/>
      <c r="F103" s="2048"/>
      <c r="G103" s="2048"/>
      <c r="H103" s="2048"/>
      <c r="I103" s="2048"/>
      <c r="J103" s="2048"/>
      <c r="K103" s="2048"/>
      <c r="L103" s="2048"/>
      <c r="M103" s="2048"/>
      <c r="N103" s="2048"/>
    </row>
    <row r="104" spans="1:16" s="1328" customFormat="1" ht="12" thickBot="1">
      <c r="A104" s="1392">
        <f>+A84+1</f>
        <v>2025</v>
      </c>
      <c r="B104" s="1344"/>
      <c r="C104" s="1344"/>
      <c r="D104" s="1344"/>
      <c r="E104" s="1344"/>
      <c r="F104" s="1345"/>
      <c r="G104" s="1346"/>
      <c r="H104" s="1344"/>
      <c r="I104" s="1345"/>
      <c r="J104" s="1344"/>
      <c r="K104" s="1344"/>
      <c r="L104" s="1345"/>
      <c r="M104" s="1346"/>
      <c r="N104" s="1293"/>
    </row>
    <row r="105" spans="1:16" s="1328" customFormat="1" ht="13.5" customHeight="1" thickBot="1">
      <c r="A105" s="2044" t="s">
        <v>224</v>
      </c>
      <c r="B105" s="2051" t="s">
        <v>308</v>
      </c>
      <c r="C105" s="2045" t="s">
        <v>309</v>
      </c>
      <c r="D105" s="2064"/>
      <c r="E105" s="2068" t="s">
        <v>310</v>
      </c>
      <c r="F105" s="2069"/>
      <c r="G105" s="2069"/>
      <c r="H105" s="2069"/>
      <c r="I105" s="2069"/>
      <c r="J105" s="2070"/>
      <c r="K105" s="1398" t="s">
        <v>310</v>
      </c>
      <c r="L105" s="1398"/>
      <c r="M105" s="1398"/>
      <c r="N105" s="2056" t="s">
        <v>312</v>
      </c>
    </row>
    <row r="106" spans="1:16" s="1347" customFormat="1" ht="24.75" customHeight="1">
      <c r="A106" s="2050"/>
      <c r="B106" s="2052"/>
      <c r="C106" s="2054"/>
      <c r="D106" s="2065"/>
      <c r="E106" s="2044" t="s">
        <v>638</v>
      </c>
      <c r="F106" s="2045"/>
      <c r="G106" s="1904">
        <f>G6</f>
        <v>18</v>
      </c>
      <c r="H106" s="2044" t="s">
        <v>595</v>
      </c>
      <c r="I106" s="2045"/>
      <c r="J106" s="1883">
        <v>3</v>
      </c>
      <c r="K106" s="2046" t="s">
        <v>672</v>
      </c>
      <c r="L106" s="2046"/>
      <c r="M106" s="1670"/>
      <c r="N106" s="2072"/>
    </row>
    <row r="107" spans="1:16" s="1347" customFormat="1" ht="57" customHeight="1">
      <c r="A107" s="2050"/>
      <c r="B107" s="2052"/>
      <c r="C107" s="1380" t="s">
        <v>314</v>
      </c>
      <c r="D107" s="1382" t="s">
        <v>315</v>
      </c>
      <c r="E107" s="1650" t="s">
        <v>314</v>
      </c>
      <c r="F107" s="1348" t="s">
        <v>315</v>
      </c>
      <c r="G107" s="1373" t="s">
        <v>317</v>
      </c>
      <c r="H107" s="1650" t="s">
        <v>314</v>
      </c>
      <c r="I107" s="1348" t="s">
        <v>315</v>
      </c>
      <c r="J107" s="1367" t="s">
        <v>317</v>
      </c>
      <c r="K107" s="1759" t="s">
        <v>314</v>
      </c>
      <c r="L107" s="1348" t="s">
        <v>315</v>
      </c>
      <c r="M107" s="1367" t="s">
        <v>317</v>
      </c>
      <c r="N107" s="2072"/>
    </row>
    <row r="108" spans="1:16" s="1331" customFormat="1" ht="12" thickBot="1">
      <c r="A108" s="1400" t="s">
        <v>305</v>
      </c>
      <c r="B108" s="1377">
        <v>1</v>
      </c>
      <c r="C108" s="1366">
        <f>B108+1</f>
        <v>2</v>
      </c>
      <c r="D108" s="1362">
        <f t="shared" ref="D108:J108" si="55">C108+1</f>
        <v>3</v>
      </c>
      <c r="E108" s="1368">
        <v>2</v>
      </c>
      <c r="F108" s="1359">
        <v>3</v>
      </c>
      <c r="G108" s="1362">
        <f t="shared" si="55"/>
        <v>4</v>
      </c>
      <c r="H108" s="1368">
        <f t="shared" si="55"/>
        <v>5</v>
      </c>
      <c r="I108" s="1359">
        <f t="shared" si="55"/>
        <v>6</v>
      </c>
      <c r="J108" s="1369">
        <f t="shared" si="55"/>
        <v>7</v>
      </c>
      <c r="K108" s="1366">
        <f t="shared" ref="K108" si="56">J108+1</f>
        <v>8</v>
      </c>
      <c r="L108" s="1359">
        <f t="shared" ref="L108" si="57">K108+1</f>
        <v>9</v>
      </c>
      <c r="M108" s="1369">
        <f t="shared" ref="M108" si="58">L108+1</f>
        <v>10</v>
      </c>
      <c r="N108" s="1691">
        <v>11</v>
      </c>
    </row>
    <row r="109" spans="1:16" s="1350" customFormat="1">
      <c r="A109" s="1546" t="s">
        <v>580</v>
      </c>
      <c r="B109" s="1378">
        <f>'2.ДП'!V110</f>
        <v>0</v>
      </c>
      <c r="C109" s="1374" t="e">
        <f>+E109+H109+#REF!+K109+#REF!+#REF!</f>
        <v>#REF!</v>
      </c>
      <c r="D109" s="1363" t="e">
        <f>+F109+I109+#REF!+L109+#REF!+#REF!</f>
        <v>#REF!</v>
      </c>
      <c r="E109" s="1881">
        <v>1.3</v>
      </c>
      <c r="F109" s="1360">
        <f>E109*B109/10</f>
        <v>0</v>
      </c>
      <c r="G109" s="1363">
        <f>F109*G$106</f>
        <v>0</v>
      </c>
      <c r="H109" s="1898">
        <v>4</v>
      </c>
      <c r="I109" s="1360">
        <f>H109*B109/10</f>
        <v>0</v>
      </c>
      <c r="J109" s="1370">
        <f>I109*J$106</f>
        <v>0</v>
      </c>
      <c r="K109" s="1547"/>
      <c r="L109" s="1360">
        <f t="shared" ref="L109:L121" si="59">K109*B109/10</f>
        <v>0</v>
      </c>
      <c r="M109" s="1370">
        <f>L109*M$106</f>
        <v>0</v>
      </c>
      <c r="N109" s="1666">
        <f>G109+J109+M109</f>
        <v>0</v>
      </c>
    </row>
    <row r="110" spans="1:16" s="1350" customFormat="1">
      <c r="A110" s="1548" t="s">
        <v>581</v>
      </c>
      <c r="B110" s="1379">
        <f>'2.ДП'!V111</f>
        <v>0</v>
      </c>
      <c r="C110" s="1375" t="e">
        <f>+E110+H110+#REF!+K110+#REF!+#REF!</f>
        <v>#REF!</v>
      </c>
      <c r="D110" s="1364" t="e">
        <f>+F110+I110+#REF!+L110+#REF!+#REF!</f>
        <v>#REF!</v>
      </c>
      <c r="E110" s="1882">
        <v>3</v>
      </c>
      <c r="F110" s="1358">
        <f t="shared" ref="F110:F121" si="60">E110*B110/10</f>
        <v>0</v>
      </c>
      <c r="G110" s="1364">
        <f>F110*G$106</f>
        <v>0</v>
      </c>
      <c r="H110" s="1899">
        <v>6</v>
      </c>
      <c r="I110" s="1358">
        <f>H110*B110/10</f>
        <v>0</v>
      </c>
      <c r="J110" s="1371">
        <f>I110*J$106</f>
        <v>0</v>
      </c>
      <c r="K110" s="1549"/>
      <c r="L110" s="1358">
        <f t="shared" si="59"/>
        <v>0</v>
      </c>
      <c r="M110" s="1371">
        <f>L110*M$106</f>
        <v>0</v>
      </c>
      <c r="N110" s="1667">
        <f>G110+J110+M110</f>
        <v>0</v>
      </c>
    </row>
    <row r="111" spans="1:16" s="1350" customFormat="1">
      <c r="A111" s="1548" t="s">
        <v>582</v>
      </c>
      <c r="B111" s="1379">
        <f>'2.ДП'!V112</f>
        <v>0</v>
      </c>
      <c r="C111" s="1375" t="e">
        <f>+E111+H111+#REF!+K111+#REF!+#REF!</f>
        <v>#REF!</v>
      </c>
      <c r="D111" s="1364" t="e">
        <f>+F111+I111+#REF!+L111+#REF!+#REF!</f>
        <v>#REF!</v>
      </c>
      <c r="E111" s="1882">
        <v>1.3</v>
      </c>
      <c r="F111" s="1358">
        <f t="shared" si="60"/>
        <v>0</v>
      </c>
      <c r="G111" s="1364">
        <f t="shared" ref="G111:G120" si="61">F111*G$106</f>
        <v>0</v>
      </c>
      <c r="H111" s="1899">
        <v>5</v>
      </c>
      <c r="I111" s="1358">
        <f>H111*B111/10</f>
        <v>0</v>
      </c>
      <c r="J111" s="1371">
        <f t="shared" ref="J111:J120" si="62">I111*J$106</f>
        <v>0</v>
      </c>
      <c r="K111" s="1549"/>
      <c r="L111" s="1358">
        <f t="shared" si="59"/>
        <v>0</v>
      </c>
      <c r="M111" s="1371">
        <f t="shared" ref="M111:M120" si="63">L111*M$106</f>
        <v>0</v>
      </c>
      <c r="N111" s="1667">
        <f t="shared" ref="N111:N121" si="64">G111+J111+M111</f>
        <v>0</v>
      </c>
    </row>
    <row r="112" spans="1:16" s="1350" customFormat="1">
      <c r="A112" s="1548" t="s">
        <v>583</v>
      </c>
      <c r="B112" s="1379">
        <f>'2.ДП'!V113</f>
        <v>0</v>
      </c>
      <c r="C112" s="1375" t="e">
        <f>+E112+H112+#REF!+K112+#REF!+#REF!</f>
        <v>#REF!</v>
      </c>
      <c r="D112" s="1364" t="e">
        <f>+F112+I112+#REF!+L112+#REF!+#REF!</f>
        <v>#REF!</v>
      </c>
      <c r="E112" s="1882">
        <v>1</v>
      </c>
      <c r="F112" s="1358">
        <f t="shared" si="60"/>
        <v>0</v>
      </c>
      <c r="G112" s="1364">
        <f t="shared" si="61"/>
        <v>0</v>
      </c>
      <c r="H112" s="1899">
        <v>12</v>
      </c>
      <c r="I112" s="1358">
        <f t="shared" ref="I112:I121" si="65">H112*B112/10</f>
        <v>0</v>
      </c>
      <c r="J112" s="1371">
        <f t="shared" si="62"/>
        <v>0</v>
      </c>
      <c r="K112" s="1549"/>
      <c r="L112" s="1358">
        <f t="shared" si="59"/>
        <v>0</v>
      </c>
      <c r="M112" s="1371">
        <f t="shared" si="63"/>
        <v>0</v>
      </c>
      <c r="N112" s="1667">
        <f t="shared" si="64"/>
        <v>0</v>
      </c>
      <c r="O112" s="1351">
        <f>SUM(N112:N121)</f>
        <v>0</v>
      </c>
    </row>
    <row r="113" spans="1:16" s="1350" customFormat="1">
      <c r="A113" s="1550" t="s">
        <v>584</v>
      </c>
      <c r="B113" s="1379">
        <f>'2.ДП'!V114</f>
        <v>0</v>
      </c>
      <c r="C113" s="1375" t="e">
        <f>+E113+H113+#REF!+K113+#REF!+#REF!</f>
        <v>#REF!</v>
      </c>
      <c r="D113" s="1364" t="e">
        <f>+F113+I113+#REF!+L113+#REF!+#REF!</f>
        <v>#REF!</v>
      </c>
      <c r="E113" s="1882">
        <v>1</v>
      </c>
      <c r="F113" s="1358">
        <f t="shared" si="60"/>
        <v>0</v>
      </c>
      <c r="G113" s="1364">
        <f t="shared" si="61"/>
        <v>0</v>
      </c>
      <c r="H113" s="1899">
        <v>2.5</v>
      </c>
      <c r="I113" s="1358">
        <f>H113*B113/10</f>
        <v>0</v>
      </c>
      <c r="J113" s="1371">
        <f t="shared" ref="J113" si="66">I113*J$106</f>
        <v>0</v>
      </c>
      <c r="K113" s="1549"/>
      <c r="L113" s="1358">
        <f t="shared" si="59"/>
        <v>0</v>
      </c>
      <c r="M113" s="1371">
        <f t="shared" si="63"/>
        <v>0</v>
      </c>
      <c r="N113" s="1667">
        <f t="shared" si="64"/>
        <v>0</v>
      </c>
    </row>
    <row r="114" spans="1:16" s="1350" customFormat="1">
      <c r="A114" s="1550" t="s">
        <v>585</v>
      </c>
      <c r="B114" s="1379">
        <f>'2.ДП'!V115</f>
        <v>0</v>
      </c>
      <c r="C114" s="1375" t="e">
        <f>+E114+H114+#REF!+K114+#REF!+#REF!</f>
        <v>#REF!</v>
      </c>
      <c r="D114" s="1364" t="e">
        <f>+F114+I114+#REF!+L114+#REF!+#REF!</f>
        <v>#REF!</v>
      </c>
      <c r="E114" s="1882">
        <v>1</v>
      </c>
      <c r="F114" s="1358">
        <f t="shared" si="60"/>
        <v>0</v>
      </c>
      <c r="G114" s="1364">
        <f t="shared" si="61"/>
        <v>0</v>
      </c>
      <c r="H114" s="1899">
        <v>3</v>
      </c>
      <c r="I114" s="1358">
        <f t="shared" si="65"/>
        <v>0</v>
      </c>
      <c r="J114" s="1371">
        <f t="shared" si="62"/>
        <v>0</v>
      </c>
      <c r="K114" s="1549"/>
      <c r="L114" s="1358">
        <f t="shared" si="59"/>
        <v>0</v>
      </c>
      <c r="M114" s="1371">
        <f t="shared" si="63"/>
        <v>0</v>
      </c>
      <c r="N114" s="1667">
        <f t="shared" si="64"/>
        <v>0</v>
      </c>
    </row>
    <row r="115" spans="1:16" s="1350" customFormat="1">
      <c r="A115" s="1550" t="s">
        <v>586</v>
      </c>
      <c r="B115" s="1379">
        <f>'2.ДП'!V116</f>
        <v>0</v>
      </c>
      <c r="C115" s="1375" t="e">
        <f>+E115+H115+#REF!+K115+#REF!+#REF!</f>
        <v>#REF!</v>
      </c>
      <c r="D115" s="1364" t="e">
        <f>+F115+I115+#REF!+L115+#REF!+#REF!</f>
        <v>#REF!</v>
      </c>
      <c r="E115" s="1882">
        <v>1</v>
      </c>
      <c r="F115" s="1358">
        <f t="shared" si="60"/>
        <v>0</v>
      </c>
      <c r="G115" s="1364">
        <f t="shared" si="61"/>
        <v>0</v>
      </c>
      <c r="H115" s="1899">
        <v>3</v>
      </c>
      <c r="I115" s="1358">
        <f t="shared" si="65"/>
        <v>0</v>
      </c>
      <c r="J115" s="1371">
        <f t="shared" si="62"/>
        <v>0</v>
      </c>
      <c r="K115" s="1549"/>
      <c r="L115" s="1358">
        <f t="shared" si="59"/>
        <v>0</v>
      </c>
      <c r="M115" s="1371">
        <f t="shared" si="63"/>
        <v>0</v>
      </c>
      <c r="N115" s="1667">
        <f t="shared" si="64"/>
        <v>0</v>
      </c>
    </row>
    <row r="116" spans="1:16" s="1350" customFormat="1">
      <c r="A116" s="1550" t="s">
        <v>587</v>
      </c>
      <c r="B116" s="1379">
        <f>'2.ДП'!V117</f>
        <v>0</v>
      </c>
      <c r="C116" s="1375" t="e">
        <f>+E116+H116+#REF!+K116+#REF!+#REF!</f>
        <v>#REF!</v>
      </c>
      <c r="D116" s="1364" t="e">
        <f>+F116+I116+#REF!+L116+#REF!+#REF!</f>
        <v>#REF!</v>
      </c>
      <c r="E116" s="1882">
        <v>1</v>
      </c>
      <c r="F116" s="1358">
        <f t="shared" si="60"/>
        <v>0</v>
      </c>
      <c r="G116" s="1364">
        <f t="shared" si="61"/>
        <v>0</v>
      </c>
      <c r="H116" s="1899">
        <v>2.5</v>
      </c>
      <c r="I116" s="1358">
        <f t="shared" si="65"/>
        <v>0</v>
      </c>
      <c r="J116" s="1371">
        <f t="shared" si="62"/>
        <v>0</v>
      </c>
      <c r="K116" s="1549"/>
      <c r="L116" s="1358">
        <f t="shared" si="59"/>
        <v>0</v>
      </c>
      <c r="M116" s="1371">
        <f t="shared" si="63"/>
        <v>0</v>
      </c>
      <c r="N116" s="1667">
        <f t="shared" si="64"/>
        <v>0</v>
      </c>
    </row>
    <row r="117" spans="1:16" s="1350" customFormat="1">
      <c r="A117" s="1550" t="s">
        <v>588</v>
      </c>
      <c r="B117" s="1379">
        <f>'2.ДП'!V118</f>
        <v>0</v>
      </c>
      <c r="C117" s="1375" t="e">
        <f>+E117+H117+#REF!+K117+#REF!+#REF!</f>
        <v>#REF!</v>
      </c>
      <c r="D117" s="1364" t="e">
        <f>+F117+I117+#REF!+L117+#REF!+#REF!</f>
        <v>#REF!</v>
      </c>
      <c r="E117" s="1882">
        <v>1</v>
      </c>
      <c r="F117" s="1358">
        <f t="shared" si="60"/>
        <v>0</v>
      </c>
      <c r="G117" s="1364">
        <f t="shared" si="61"/>
        <v>0</v>
      </c>
      <c r="H117" s="1899">
        <v>2.5</v>
      </c>
      <c r="I117" s="1358">
        <f t="shared" si="65"/>
        <v>0</v>
      </c>
      <c r="J117" s="1371">
        <f t="shared" si="62"/>
        <v>0</v>
      </c>
      <c r="K117" s="1549"/>
      <c r="L117" s="1358">
        <f t="shared" si="59"/>
        <v>0</v>
      </c>
      <c r="M117" s="1371">
        <f t="shared" si="63"/>
        <v>0</v>
      </c>
      <c r="N117" s="1667">
        <f t="shared" si="64"/>
        <v>0</v>
      </c>
    </row>
    <row r="118" spans="1:16" s="1350" customFormat="1">
      <c r="A118" s="1550" t="s">
        <v>589</v>
      </c>
      <c r="B118" s="1379">
        <f>'2.ДП'!V119</f>
        <v>0</v>
      </c>
      <c r="C118" s="1375" t="e">
        <f>+E118+H118+#REF!+K118+#REF!+#REF!</f>
        <v>#REF!</v>
      </c>
      <c r="D118" s="1364" t="e">
        <f>+F118+I118+#REF!+L118+#REF!+#REF!</f>
        <v>#REF!</v>
      </c>
      <c r="E118" s="1882">
        <v>1.2</v>
      </c>
      <c r="F118" s="1358">
        <f t="shared" si="60"/>
        <v>0</v>
      </c>
      <c r="G118" s="1364">
        <f t="shared" si="61"/>
        <v>0</v>
      </c>
      <c r="H118" s="1899">
        <v>2</v>
      </c>
      <c r="I118" s="1358">
        <f t="shared" si="65"/>
        <v>0</v>
      </c>
      <c r="J118" s="1371">
        <f t="shared" si="62"/>
        <v>0</v>
      </c>
      <c r="K118" s="1549"/>
      <c r="L118" s="1358">
        <f t="shared" si="59"/>
        <v>0</v>
      </c>
      <c r="M118" s="1371">
        <f t="shared" si="63"/>
        <v>0</v>
      </c>
      <c r="N118" s="1667">
        <f t="shared" si="64"/>
        <v>0</v>
      </c>
    </row>
    <row r="119" spans="1:16" s="1350" customFormat="1">
      <c r="A119" s="1550" t="s">
        <v>590</v>
      </c>
      <c r="B119" s="1379">
        <f>'2.ДП'!V120</f>
        <v>0</v>
      </c>
      <c r="C119" s="1375" t="e">
        <f>+E119+H119+#REF!+K119+#REF!+#REF!</f>
        <v>#REF!</v>
      </c>
      <c r="D119" s="1364" t="e">
        <f>+F119+I119+#REF!+L119+#REF!+#REF!</f>
        <v>#REF!</v>
      </c>
      <c r="E119" s="1882">
        <v>1.2</v>
      </c>
      <c r="F119" s="1358">
        <f t="shared" si="60"/>
        <v>0</v>
      </c>
      <c r="G119" s="1364">
        <f t="shared" si="61"/>
        <v>0</v>
      </c>
      <c r="H119" s="1899">
        <v>2</v>
      </c>
      <c r="I119" s="1358">
        <f t="shared" si="65"/>
        <v>0</v>
      </c>
      <c r="J119" s="1371">
        <f t="shared" si="62"/>
        <v>0</v>
      </c>
      <c r="K119" s="1549"/>
      <c r="L119" s="1358">
        <f t="shared" si="59"/>
        <v>0</v>
      </c>
      <c r="M119" s="1371">
        <f t="shared" si="63"/>
        <v>0</v>
      </c>
      <c r="N119" s="1667">
        <f t="shared" si="64"/>
        <v>0</v>
      </c>
    </row>
    <row r="120" spans="1:16" s="1350" customFormat="1">
      <c r="A120" s="1550" t="s">
        <v>591</v>
      </c>
      <c r="B120" s="1379">
        <f>'2.ДП'!V121</f>
        <v>0</v>
      </c>
      <c r="C120" s="1375" t="e">
        <f>+E120+H120+#REF!+K120+#REF!+#REF!</f>
        <v>#REF!</v>
      </c>
      <c r="D120" s="1364" t="e">
        <f>+F120+I120+#REF!+L120+#REF!+#REF!</f>
        <v>#REF!</v>
      </c>
      <c r="E120" s="1882">
        <v>1.5</v>
      </c>
      <c r="F120" s="1358">
        <f t="shared" si="60"/>
        <v>0</v>
      </c>
      <c r="G120" s="1364">
        <f t="shared" si="61"/>
        <v>0</v>
      </c>
      <c r="H120" s="1899">
        <v>2.5</v>
      </c>
      <c r="I120" s="1358">
        <f t="shared" si="65"/>
        <v>0</v>
      </c>
      <c r="J120" s="1371">
        <f t="shared" si="62"/>
        <v>0</v>
      </c>
      <c r="K120" s="1549"/>
      <c r="L120" s="1358">
        <f t="shared" si="59"/>
        <v>0</v>
      </c>
      <c r="M120" s="1371">
        <f t="shared" si="63"/>
        <v>0</v>
      </c>
      <c r="N120" s="1667">
        <f t="shared" si="64"/>
        <v>0</v>
      </c>
      <c r="P120" s="1351"/>
    </row>
    <row r="121" spans="1:16" s="1350" customFormat="1" ht="12" thickBot="1">
      <c r="A121" s="1551" t="s">
        <v>592</v>
      </c>
      <c r="B121" s="1635">
        <f>'2.ДП'!V122</f>
        <v>0</v>
      </c>
      <c r="C121" s="1376" t="e">
        <f>+E121+H121+#REF!+K121+#REF!+#REF!</f>
        <v>#REF!</v>
      </c>
      <c r="D121" s="1365" t="e">
        <f>+F121+I121+#REF!+L121+#REF!+#REF!</f>
        <v>#REF!</v>
      </c>
      <c r="E121" s="1885">
        <v>1.5</v>
      </c>
      <c r="F121" s="1361">
        <f t="shared" si="60"/>
        <v>0</v>
      </c>
      <c r="G121" s="1365">
        <f>F121*$G$6</f>
        <v>0</v>
      </c>
      <c r="H121" s="1900">
        <v>2.5</v>
      </c>
      <c r="I121" s="1361">
        <f t="shared" si="65"/>
        <v>0</v>
      </c>
      <c r="J121" s="1372">
        <f>I121*$G$6</f>
        <v>0</v>
      </c>
      <c r="K121" s="1552"/>
      <c r="L121" s="1361">
        <f t="shared" si="59"/>
        <v>0</v>
      </c>
      <c r="M121" s="1372">
        <f>L121*$G$6</f>
        <v>0</v>
      </c>
      <c r="N121" s="1668">
        <f t="shared" si="64"/>
        <v>0</v>
      </c>
      <c r="P121" s="1351"/>
    </row>
    <row r="122" spans="1:16" s="1352" customFormat="1" thickBot="1">
      <c r="A122" s="1867" t="s">
        <v>238</v>
      </c>
      <c r="B122" s="1895">
        <f>SUM(B109:B121)</f>
        <v>0</v>
      </c>
      <c r="C122" s="1896"/>
      <c r="D122" s="1877" t="e">
        <f>SUM(D109:D121)</f>
        <v>#REF!</v>
      </c>
      <c r="E122" s="1878"/>
      <c r="F122" s="1876">
        <f>SUM(F109:F121)</f>
        <v>0</v>
      </c>
      <c r="G122" s="1877">
        <f>SUM(G109:G121)</f>
        <v>0</v>
      </c>
      <c r="H122" s="1878"/>
      <c r="I122" s="1876">
        <f>SUM(I109:I121)</f>
        <v>0</v>
      </c>
      <c r="J122" s="1879">
        <f>SUM(J109:J121)</f>
        <v>0</v>
      </c>
      <c r="K122" s="1896"/>
      <c r="L122" s="1876">
        <f>SUM(L109:L121)</f>
        <v>0</v>
      </c>
      <c r="M122" s="1876">
        <f>SUM(M109:M121)</f>
        <v>0</v>
      </c>
      <c r="N122" s="1897">
        <f>SUM(N109:N121)</f>
        <v>0</v>
      </c>
      <c r="O122" s="1386">
        <f>+N122-N110</f>
        <v>0</v>
      </c>
    </row>
  </sheetData>
  <mergeCells count="54">
    <mergeCell ref="C5:D6"/>
    <mergeCell ref="N5:N7"/>
    <mergeCell ref="N25:N27"/>
    <mergeCell ref="E5:J5"/>
    <mergeCell ref="E25:J25"/>
    <mergeCell ref="E6:F6"/>
    <mergeCell ref="H6:I6"/>
    <mergeCell ref="K6:L6"/>
    <mergeCell ref="E26:F26"/>
    <mergeCell ref="H26:I26"/>
    <mergeCell ref="K26:L26"/>
    <mergeCell ref="A65:A67"/>
    <mergeCell ref="B65:B67"/>
    <mergeCell ref="C65:D66"/>
    <mergeCell ref="E65:J65"/>
    <mergeCell ref="N65:N67"/>
    <mergeCell ref="E86:F86"/>
    <mergeCell ref="H86:I86"/>
    <mergeCell ref="K86:L86"/>
    <mergeCell ref="E106:F106"/>
    <mergeCell ref="H106:I106"/>
    <mergeCell ref="K106:L106"/>
    <mergeCell ref="A63:N63"/>
    <mergeCell ref="A83:N83"/>
    <mergeCell ref="A103:N103"/>
    <mergeCell ref="E105:J105"/>
    <mergeCell ref="E85:J85"/>
    <mergeCell ref="A105:A107"/>
    <mergeCell ref="B105:B107"/>
    <mergeCell ref="C105:D106"/>
    <mergeCell ref="A85:A87"/>
    <mergeCell ref="B85:B87"/>
    <mergeCell ref="C85:D86"/>
    <mergeCell ref="N85:N87"/>
    <mergeCell ref="N105:N107"/>
    <mergeCell ref="E66:F66"/>
    <mergeCell ref="H66:I66"/>
    <mergeCell ref="K66:L66"/>
    <mergeCell ref="E46:F46"/>
    <mergeCell ref="H46:I46"/>
    <mergeCell ref="K46:L46"/>
    <mergeCell ref="A3:N3"/>
    <mergeCell ref="A23:N23"/>
    <mergeCell ref="A43:N43"/>
    <mergeCell ref="A45:A47"/>
    <mergeCell ref="B45:B47"/>
    <mergeCell ref="C45:D46"/>
    <mergeCell ref="N45:N47"/>
    <mergeCell ref="E45:J45"/>
    <mergeCell ref="A25:A27"/>
    <mergeCell ref="B25:B27"/>
    <mergeCell ref="C25:D26"/>
    <mergeCell ref="A5:A7"/>
    <mergeCell ref="B5:B7"/>
  </mergeCells>
  <conditionalFormatting sqref="A25:E25 A105:E105 A85:E85 A65:E65 A45:E45 A3 A23 A43 A63 A83 A103 O23:IL24 O43:IL44 O63:IL64 O83:IL84 O103:IL104 A5:E6 G6:H6 O3:IL4 A4:M4 A24:M24 A44:M44 A64:M64 A84:M84 A104:M104 K5:IL5 K25:IL25 K105:IL105 K85:IL85 K65:IL65 K45:IL45 A1:IL2 J6:K6 M6:IL6 A26:D26 N26:IL26 A46:D46 N46:IL46 A7:IL22 A66:D66 N66:IL66 A86:D86 N86:IL86 A47:IL62 A27:IL42 A67:IL82 A87:IL102 A106:D106 N106:IL106 A107:IL65456">
    <cfRule type="cellIs" dxfId="55" priority="34" stopIfTrue="1" operator="equal">
      <formula>0</formula>
    </cfRule>
    <cfRule type="cellIs" dxfId="54" priority="35" stopIfTrue="1" operator="equal">
      <formula>0</formula>
    </cfRule>
    <cfRule type="cellIs" dxfId="53" priority="36" stopIfTrue="1" operator="equal">
      <formula>1011.5</formula>
    </cfRule>
    <cfRule type="cellIs" dxfId="52" priority="37" stopIfTrue="1" operator="equal">
      <formula>1011.5</formula>
    </cfRule>
    <cfRule type="cellIs" dxfId="51" priority="38" stopIfTrue="1" operator="equal">
      <formula>0</formula>
    </cfRule>
  </conditionalFormatting>
  <conditionalFormatting sqref="N4">
    <cfRule type="cellIs" dxfId="50" priority="33" stopIfTrue="1" operator="equal">
      <formula>0</formula>
    </cfRule>
  </conditionalFormatting>
  <conditionalFormatting sqref="N24">
    <cfRule type="cellIs" dxfId="49" priority="32" stopIfTrue="1" operator="equal">
      <formula>0</formula>
    </cfRule>
  </conditionalFormatting>
  <conditionalFormatting sqref="N44">
    <cfRule type="cellIs" dxfId="48" priority="31" stopIfTrue="1" operator="equal">
      <formula>0</formula>
    </cfRule>
  </conditionalFormatting>
  <conditionalFormatting sqref="N64">
    <cfRule type="cellIs" dxfId="47" priority="30" stopIfTrue="1" operator="equal">
      <formula>0</formula>
    </cfRule>
  </conditionalFormatting>
  <conditionalFormatting sqref="N84">
    <cfRule type="cellIs" dxfId="46" priority="29" stopIfTrue="1" operator="equal">
      <formula>0</formula>
    </cfRule>
  </conditionalFormatting>
  <conditionalFormatting sqref="N104">
    <cfRule type="cellIs" dxfId="45" priority="28" stopIfTrue="1" operator="equal">
      <formula>0</formula>
    </cfRule>
  </conditionalFormatting>
  <conditionalFormatting sqref="E26 G26:H26 J26:K26 M26">
    <cfRule type="cellIs" dxfId="44" priority="21" stopIfTrue="1" operator="equal">
      <formula>0</formula>
    </cfRule>
    <cfRule type="cellIs" dxfId="43" priority="22" stopIfTrue="1" operator="equal">
      <formula>0</formula>
    </cfRule>
    <cfRule type="cellIs" dxfId="42" priority="23" stopIfTrue="1" operator="equal">
      <formula>1011.5</formula>
    </cfRule>
    <cfRule type="cellIs" dxfId="41" priority="24" stopIfTrue="1" operator="equal">
      <formula>1011.5</formula>
    </cfRule>
    <cfRule type="cellIs" dxfId="40" priority="25" stopIfTrue="1" operator="equal">
      <formula>0</formula>
    </cfRule>
  </conditionalFormatting>
  <conditionalFormatting sqref="E46 G46:H46 J46:K46 M46">
    <cfRule type="cellIs" dxfId="39" priority="16" stopIfTrue="1" operator="equal">
      <formula>0</formula>
    </cfRule>
    <cfRule type="cellIs" dxfId="38" priority="17" stopIfTrue="1" operator="equal">
      <formula>0</formula>
    </cfRule>
    <cfRule type="cellIs" dxfId="37" priority="18" stopIfTrue="1" operator="equal">
      <formula>1011.5</formula>
    </cfRule>
    <cfRule type="cellIs" dxfId="36" priority="19" stopIfTrue="1" operator="equal">
      <formula>1011.5</formula>
    </cfRule>
    <cfRule type="cellIs" dxfId="35" priority="20" stopIfTrue="1" operator="equal">
      <formula>0</formula>
    </cfRule>
  </conditionalFormatting>
  <conditionalFormatting sqref="E66 G66:H66 J66:K66 M66">
    <cfRule type="cellIs" dxfId="34" priority="11" stopIfTrue="1" operator="equal">
      <formula>0</formula>
    </cfRule>
    <cfRule type="cellIs" dxfId="33" priority="12" stopIfTrue="1" operator="equal">
      <formula>0</formula>
    </cfRule>
    <cfRule type="cellIs" dxfId="32" priority="13" stopIfTrue="1" operator="equal">
      <formula>1011.5</formula>
    </cfRule>
    <cfRule type="cellIs" dxfId="31" priority="14" stopIfTrue="1" operator="equal">
      <formula>1011.5</formula>
    </cfRule>
    <cfRule type="cellIs" dxfId="30" priority="15" stopIfTrue="1" operator="equal">
      <formula>0</formula>
    </cfRule>
  </conditionalFormatting>
  <conditionalFormatting sqref="E86 G86:H86 J86:K86 M86">
    <cfRule type="cellIs" dxfId="29" priority="6" stopIfTrue="1" operator="equal">
      <formula>0</formula>
    </cfRule>
    <cfRule type="cellIs" dxfId="28" priority="7" stopIfTrue="1" operator="equal">
      <formula>0</formula>
    </cfRule>
    <cfRule type="cellIs" dxfId="27" priority="8" stopIfTrue="1" operator="equal">
      <formula>1011.5</formula>
    </cfRule>
    <cfRule type="cellIs" dxfId="26" priority="9" stopIfTrue="1" operator="equal">
      <formula>1011.5</formula>
    </cfRule>
    <cfRule type="cellIs" dxfId="25" priority="10" stopIfTrue="1" operator="equal">
      <formula>0</formula>
    </cfRule>
  </conditionalFormatting>
  <conditionalFormatting sqref="E106 G106:H106 J106:K106 M106">
    <cfRule type="cellIs" dxfId="24" priority="1" stopIfTrue="1" operator="equal">
      <formula>0</formula>
    </cfRule>
    <cfRule type="cellIs" dxfId="23" priority="2" stopIfTrue="1" operator="equal">
      <formula>0</formula>
    </cfRule>
    <cfRule type="cellIs" dxfId="22" priority="3" stopIfTrue="1" operator="equal">
      <formula>1011.5</formula>
    </cfRule>
    <cfRule type="cellIs" dxfId="21" priority="4" stopIfTrue="1" operator="equal">
      <formula>1011.5</formula>
    </cfRule>
    <cfRule type="cellIs" dxfId="20" priority="5" stopIfTrue="1" operator="equal">
      <formula>0</formula>
    </cfRule>
  </conditionalFormatting>
  <printOptions horizontalCentered="1"/>
  <pageMargins left="0.78740157480314965" right="0.39370078740157483" top="0.78740157480314965" bottom="0.78740157480314965" header="0.31496062992125984" footer="0.31496062992125984"/>
  <pageSetup paperSize="9" fitToHeight="4" orientation="portrait" verticalDpi="300" r:id="rId1"/>
  <headerFooter alignWithMargins="0"/>
  <rowBreaks count="2" manualBreakCount="2">
    <brk id="42" max="23" man="1"/>
    <brk id="82" max="2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5"/>
  <sheetViews>
    <sheetView view="pageBreakPreview" zoomScale="115" zoomScaleNormal="120" zoomScaleSheetLayoutView="115" workbookViewId="0"/>
  </sheetViews>
  <sheetFormatPr defaultRowHeight="11.25"/>
  <cols>
    <col min="1" max="1" width="27" style="360" customWidth="1"/>
    <col min="2" max="2" width="8.28515625" style="413" customWidth="1"/>
    <col min="3" max="4" width="6.42578125" style="360" hidden="1" customWidth="1"/>
    <col min="5" max="6" width="6.42578125" style="360" customWidth="1"/>
    <col min="7" max="7" width="6.42578125" style="414" customWidth="1"/>
    <col min="8" max="16" width="6.42578125" style="360" customWidth="1"/>
    <col min="17" max="19" width="6.42578125" style="360" hidden="1" customWidth="1"/>
    <col min="20" max="22" width="6.42578125" style="360" customWidth="1"/>
    <col min="23" max="24" width="6.28515625" style="360" hidden="1" customWidth="1"/>
    <col min="25" max="25" width="6.85546875" style="360" hidden="1" customWidth="1"/>
    <col min="26" max="26" width="6.7109375" style="360" hidden="1" customWidth="1"/>
    <col min="27" max="27" width="9.5703125" style="415" customWidth="1"/>
    <col min="28" max="38" width="6.28515625" style="360" customWidth="1"/>
    <col min="39" max="256" width="9.140625" style="360"/>
    <col min="257" max="257" width="27" style="360" customWidth="1"/>
    <col min="258" max="258" width="8.28515625" style="360" customWidth="1"/>
    <col min="259" max="260" width="0" style="360" hidden="1" customWidth="1"/>
    <col min="261" max="262" width="6.28515625" style="360" customWidth="1"/>
    <col min="263" max="263" width="7.140625" style="360" customWidth="1"/>
    <col min="264" max="264" width="6.28515625" style="360" customWidth="1"/>
    <col min="265" max="265" width="8.42578125" style="360" customWidth="1"/>
    <col min="266" max="269" width="7.85546875" style="360" customWidth="1"/>
    <col min="270" max="271" width="6.28515625" style="360" customWidth="1"/>
    <col min="272" max="272" width="7.85546875" style="360" customWidth="1"/>
    <col min="273" max="274" width="6.28515625" style="360" customWidth="1"/>
    <col min="275" max="275" width="8.42578125" style="360" customWidth="1"/>
    <col min="276" max="277" width="6.28515625" style="360" customWidth="1"/>
    <col min="278" max="278" width="7.28515625" style="360" customWidth="1"/>
    <col min="279" max="280" width="6.28515625" style="360" customWidth="1"/>
    <col min="281" max="281" width="6.85546875" style="360" customWidth="1"/>
    <col min="282" max="282" width="6.7109375" style="360" customWidth="1"/>
    <col min="283" max="283" width="9.5703125" style="360" customWidth="1"/>
    <col min="284" max="294" width="6.28515625" style="360" customWidth="1"/>
    <col min="295" max="512" width="9.140625" style="360"/>
    <col min="513" max="513" width="27" style="360" customWidth="1"/>
    <col min="514" max="514" width="8.28515625" style="360" customWidth="1"/>
    <col min="515" max="516" width="0" style="360" hidden="1" customWidth="1"/>
    <col min="517" max="518" width="6.28515625" style="360" customWidth="1"/>
    <col min="519" max="519" width="7.140625" style="360" customWidth="1"/>
    <col min="520" max="520" width="6.28515625" style="360" customWidth="1"/>
    <col min="521" max="521" width="8.42578125" style="360" customWidth="1"/>
    <col min="522" max="525" width="7.85546875" style="360" customWidth="1"/>
    <col min="526" max="527" width="6.28515625" style="360" customWidth="1"/>
    <col min="528" max="528" width="7.85546875" style="360" customWidth="1"/>
    <col min="529" max="530" width="6.28515625" style="360" customWidth="1"/>
    <col min="531" max="531" width="8.42578125" style="360" customWidth="1"/>
    <col min="532" max="533" width="6.28515625" style="360" customWidth="1"/>
    <col min="534" max="534" width="7.28515625" style="360" customWidth="1"/>
    <col min="535" max="536" width="6.28515625" style="360" customWidth="1"/>
    <col min="537" max="537" width="6.85546875" style="360" customWidth="1"/>
    <col min="538" max="538" width="6.7109375" style="360" customWidth="1"/>
    <col min="539" max="539" width="9.5703125" style="360" customWidth="1"/>
    <col min="540" max="550" width="6.28515625" style="360" customWidth="1"/>
    <col min="551" max="768" width="9.140625" style="360"/>
    <col min="769" max="769" width="27" style="360" customWidth="1"/>
    <col min="770" max="770" width="8.28515625" style="360" customWidth="1"/>
    <col min="771" max="772" width="0" style="360" hidden="1" customWidth="1"/>
    <col min="773" max="774" width="6.28515625" style="360" customWidth="1"/>
    <col min="775" max="775" width="7.140625" style="360" customWidth="1"/>
    <col min="776" max="776" width="6.28515625" style="360" customWidth="1"/>
    <col min="777" max="777" width="8.42578125" style="360" customWidth="1"/>
    <col min="778" max="781" width="7.85546875" style="360" customWidth="1"/>
    <col min="782" max="783" width="6.28515625" style="360" customWidth="1"/>
    <col min="784" max="784" width="7.85546875" style="360" customWidth="1"/>
    <col min="785" max="786" width="6.28515625" style="360" customWidth="1"/>
    <col min="787" max="787" width="8.42578125" style="360" customWidth="1"/>
    <col min="788" max="789" width="6.28515625" style="360" customWidth="1"/>
    <col min="790" max="790" width="7.28515625" style="360" customWidth="1"/>
    <col min="791" max="792" width="6.28515625" style="360" customWidth="1"/>
    <col min="793" max="793" width="6.85546875" style="360" customWidth="1"/>
    <col min="794" max="794" width="6.7109375" style="360" customWidth="1"/>
    <col min="795" max="795" width="9.5703125" style="360" customWidth="1"/>
    <col min="796" max="806" width="6.28515625" style="360" customWidth="1"/>
    <col min="807" max="1024" width="9.140625" style="360"/>
    <col min="1025" max="1025" width="27" style="360" customWidth="1"/>
    <col min="1026" max="1026" width="8.28515625" style="360" customWidth="1"/>
    <col min="1027" max="1028" width="0" style="360" hidden="1" customWidth="1"/>
    <col min="1029" max="1030" width="6.28515625" style="360" customWidth="1"/>
    <col min="1031" max="1031" width="7.140625" style="360" customWidth="1"/>
    <col min="1032" max="1032" width="6.28515625" style="360" customWidth="1"/>
    <col min="1033" max="1033" width="8.42578125" style="360" customWidth="1"/>
    <col min="1034" max="1037" width="7.85546875" style="360" customWidth="1"/>
    <col min="1038" max="1039" width="6.28515625" style="360" customWidth="1"/>
    <col min="1040" max="1040" width="7.85546875" style="360" customWidth="1"/>
    <col min="1041" max="1042" width="6.28515625" style="360" customWidth="1"/>
    <col min="1043" max="1043" width="8.42578125" style="360" customWidth="1"/>
    <col min="1044" max="1045" width="6.28515625" style="360" customWidth="1"/>
    <col min="1046" max="1046" width="7.28515625" style="360" customWidth="1"/>
    <col min="1047" max="1048" width="6.28515625" style="360" customWidth="1"/>
    <col min="1049" max="1049" width="6.85546875" style="360" customWidth="1"/>
    <col min="1050" max="1050" width="6.7109375" style="360" customWidth="1"/>
    <col min="1051" max="1051" width="9.5703125" style="360" customWidth="1"/>
    <col min="1052" max="1062" width="6.28515625" style="360" customWidth="1"/>
    <col min="1063" max="1280" width="9.140625" style="360"/>
    <col min="1281" max="1281" width="27" style="360" customWidth="1"/>
    <col min="1282" max="1282" width="8.28515625" style="360" customWidth="1"/>
    <col min="1283" max="1284" width="0" style="360" hidden="1" customWidth="1"/>
    <col min="1285" max="1286" width="6.28515625" style="360" customWidth="1"/>
    <col min="1287" max="1287" width="7.140625" style="360" customWidth="1"/>
    <col min="1288" max="1288" width="6.28515625" style="360" customWidth="1"/>
    <col min="1289" max="1289" width="8.42578125" style="360" customWidth="1"/>
    <col min="1290" max="1293" width="7.85546875" style="360" customWidth="1"/>
    <col min="1294" max="1295" width="6.28515625" style="360" customWidth="1"/>
    <col min="1296" max="1296" width="7.85546875" style="360" customWidth="1"/>
    <col min="1297" max="1298" width="6.28515625" style="360" customWidth="1"/>
    <col min="1299" max="1299" width="8.42578125" style="360" customWidth="1"/>
    <col min="1300" max="1301" width="6.28515625" style="360" customWidth="1"/>
    <col min="1302" max="1302" width="7.28515625" style="360" customWidth="1"/>
    <col min="1303" max="1304" width="6.28515625" style="360" customWidth="1"/>
    <col min="1305" max="1305" width="6.85546875" style="360" customWidth="1"/>
    <col min="1306" max="1306" width="6.7109375" style="360" customWidth="1"/>
    <col min="1307" max="1307" width="9.5703125" style="360" customWidth="1"/>
    <col min="1308" max="1318" width="6.28515625" style="360" customWidth="1"/>
    <col min="1319" max="1536" width="9.140625" style="360"/>
    <col min="1537" max="1537" width="27" style="360" customWidth="1"/>
    <col min="1538" max="1538" width="8.28515625" style="360" customWidth="1"/>
    <col min="1539" max="1540" width="0" style="360" hidden="1" customWidth="1"/>
    <col min="1541" max="1542" width="6.28515625" style="360" customWidth="1"/>
    <col min="1543" max="1543" width="7.140625" style="360" customWidth="1"/>
    <col min="1544" max="1544" width="6.28515625" style="360" customWidth="1"/>
    <col min="1545" max="1545" width="8.42578125" style="360" customWidth="1"/>
    <col min="1546" max="1549" width="7.85546875" style="360" customWidth="1"/>
    <col min="1550" max="1551" width="6.28515625" style="360" customWidth="1"/>
    <col min="1552" max="1552" width="7.85546875" style="360" customWidth="1"/>
    <col min="1553" max="1554" width="6.28515625" style="360" customWidth="1"/>
    <col min="1555" max="1555" width="8.42578125" style="360" customWidth="1"/>
    <col min="1556" max="1557" width="6.28515625" style="360" customWidth="1"/>
    <col min="1558" max="1558" width="7.28515625" style="360" customWidth="1"/>
    <col min="1559" max="1560" width="6.28515625" style="360" customWidth="1"/>
    <col min="1561" max="1561" width="6.85546875" style="360" customWidth="1"/>
    <col min="1562" max="1562" width="6.7109375" style="360" customWidth="1"/>
    <col min="1563" max="1563" width="9.5703125" style="360" customWidth="1"/>
    <col min="1564" max="1574" width="6.28515625" style="360" customWidth="1"/>
    <col min="1575" max="1792" width="9.140625" style="360"/>
    <col min="1793" max="1793" width="27" style="360" customWidth="1"/>
    <col min="1794" max="1794" width="8.28515625" style="360" customWidth="1"/>
    <col min="1795" max="1796" width="0" style="360" hidden="1" customWidth="1"/>
    <col min="1797" max="1798" width="6.28515625" style="360" customWidth="1"/>
    <col min="1799" max="1799" width="7.140625" style="360" customWidth="1"/>
    <col min="1800" max="1800" width="6.28515625" style="360" customWidth="1"/>
    <col min="1801" max="1801" width="8.42578125" style="360" customWidth="1"/>
    <col min="1802" max="1805" width="7.85546875" style="360" customWidth="1"/>
    <col min="1806" max="1807" width="6.28515625" style="360" customWidth="1"/>
    <col min="1808" max="1808" width="7.85546875" style="360" customWidth="1"/>
    <col min="1809" max="1810" width="6.28515625" style="360" customWidth="1"/>
    <col min="1811" max="1811" width="8.42578125" style="360" customWidth="1"/>
    <col min="1812" max="1813" width="6.28515625" style="360" customWidth="1"/>
    <col min="1814" max="1814" width="7.28515625" style="360" customWidth="1"/>
    <col min="1815" max="1816" width="6.28515625" style="360" customWidth="1"/>
    <col min="1817" max="1817" width="6.85546875" style="360" customWidth="1"/>
    <col min="1818" max="1818" width="6.7109375" style="360" customWidth="1"/>
    <col min="1819" max="1819" width="9.5703125" style="360" customWidth="1"/>
    <col min="1820" max="1830" width="6.28515625" style="360" customWidth="1"/>
    <col min="1831" max="2048" width="9.140625" style="360"/>
    <col min="2049" max="2049" width="27" style="360" customWidth="1"/>
    <col min="2050" max="2050" width="8.28515625" style="360" customWidth="1"/>
    <col min="2051" max="2052" width="0" style="360" hidden="1" customWidth="1"/>
    <col min="2053" max="2054" width="6.28515625" style="360" customWidth="1"/>
    <col min="2055" max="2055" width="7.140625" style="360" customWidth="1"/>
    <col min="2056" max="2056" width="6.28515625" style="360" customWidth="1"/>
    <col min="2057" max="2057" width="8.42578125" style="360" customWidth="1"/>
    <col min="2058" max="2061" width="7.85546875" style="360" customWidth="1"/>
    <col min="2062" max="2063" width="6.28515625" style="360" customWidth="1"/>
    <col min="2064" max="2064" width="7.85546875" style="360" customWidth="1"/>
    <col min="2065" max="2066" width="6.28515625" style="360" customWidth="1"/>
    <col min="2067" max="2067" width="8.42578125" style="360" customWidth="1"/>
    <col min="2068" max="2069" width="6.28515625" style="360" customWidth="1"/>
    <col min="2070" max="2070" width="7.28515625" style="360" customWidth="1"/>
    <col min="2071" max="2072" width="6.28515625" style="360" customWidth="1"/>
    <col min="2073" max="2073" width="6.85546875" style="360" customWidth="1"/>
    <col min="2074" max="2074" width="6.7109375" style="360" customWidth="1"/>
    <col min="2075" max="2075" width="9.5703125" style="360" customWidth="1"/>
    <col min="2076" max="2086" width="6.28515625" style="360" customWidth="1"/>
    <col min="2087" max="2304" width="9.140625" style="360"/>
    <col min="2305" max="2305" width="27" style="360" customWidth="1"/>
    <col min="2306" max="2306" width="8.28515625" style="360" customWidth="1"/>
    <col min="2307" max="2308" width="0" style="360" hidden="1" customWidth="1"/>
    <col min="2309" max="2310" width="6.28515625" style="360" customWidth="1"/>
    <col min="2311" max="2311" width="7.140625" style="360" customWidth="1"/>
    <col min="2312" max="2312" width="6.28515625" style="360" customWidth="1"/>
    <col min="2313" max="2313" width="8.42578125" style="360" customWidth="1"/>
    <col min="2314" max="2317" width="7.85546875" style="360" customWidth="1"/>
    <col min="2318" max="2319" width="6.28515625" style="360" customWidth="1"/>
    <col min="2320" max="2320" width="7.85546875" style="360" customWidth="1"/>
    <col min="2321" max="2322" width="6.28515625" style="360" customWidth="1"/>
    <col min="2323" max="2323" width="8.42578125" style="360" customWidth="1"/>
    <col min="2324" max="2325" width="6.28515625" style="360" customWidth="1"/>
    <col min="2326" max="2326" width="7.28515625" style="360" customWidth="1"/>
    <col min="2327" max="2328" width="6.28515625" style="360" customWidth="1"/>
    <col min="2329" max="2329" width="6.85546875" style="360" customWidth="1"/>
    <col min="2330" max="2330" width="6.7109375" style="360" customWidth="1"/>
    <col min="2331" max="2331" width="9.5703125" style="360" customWidth="1"/>
    <col min="2332" max="2342" width="6.28515625" style="360" customWidth="1"/>
    <col min="2343" max="2560" width="9.140625" style="360"/>
    <col min="2561" max="2561" width="27" style="360" customWidth="1"/>
    <col min="2562" max="2562" width="8.28515625" style="360" customWidth="1"/>
    <col min="2563" max="2564" width="0" style="360" hidden="1" customWidth="1"/>
    <col min="2565" max="2566" width="6.28515625" style="360" customWidth="1"/>
    <col min="2567" max="2567" width="7.140625" style="360" customWidth="1"/>
    <col min="2568" max="2568" width="6.28515625" style="360" customWidth="1"/>
    <col min="2569" max="2569" width="8.42578125" style="360" customWidth="1"/>
    <col min="2570" max="2573" width="7.85546875" style="360" customWidth="1"/>
    <col min="2574" max="2575" width="6.28515625" style="360" customWidth="1"/>
    <col min="2576" max="2576" width="7.85546875" style="360" customWidth="1"/>
    <col min="2577" max="2578" width="6.28515625" style="360" customWidth="1"/>
    <col min="2579" max="2579" width="8.42578125" style="360" customWidth="1"/>
    <col min="2580" max="2581" width="6.28515625" style="360" customWidth="1"/>
    <col min="2582" max="2582" width="7.28515625" style="360" customWidth="1"/>
    <col min="2583" max="2584" width="6.28515625" style="360" customWidth="1"/>
    <col min="2585" max="2585" width="6.85546875" style="360" customWidth="1"/>
    <col min="2586" max="2586" width="6.7109375" style="360" customWidth="1"/>
    <col min="2587" max="2587" width="9.5703125" style="360" customWidth="1"/>
    <col min="2588" max="2598" width="6.28515625" style="360" customWidth="1"/>
    <col min="2599" max="2816" width="9.140625" style="360"/>
    <col min="2817" max="2817" width="27" style="360" customWidth="1"/>
    <col min="2818" max="2818" width="8.28515625" style="360" customWidth="1"/>
    <col min="2819" max="2820" width="0" style="360" hidden="1" customWidth="1"/>
    <col min="2821" max="2822" width="6.28515625" style="360" customWidth="1"/>
    <col min="2823" max="2823" width="7.140625" style="360" customWidth="1"/>
    <col min="2824" max="2824" width="6.28515625" style="360" customWidth="1"/>
    <col min="2825" max="2825" width="8.42578125" style="360" customWidth="1"/>
    <col min="2826" max="2829" width="7.85546875" style="360" customWidth="1"/>
    <col min="2830" max="2831" width="6.28515625" style="360" customWidth="1"/>
    <col min="2832" max="2832" width="7.85546875" style="360" customWidth="1"/>
    <col min="2833" max="2834" width="6.28515625" style="360" customWidth="1"/>
    <col min="2835" max="2835" width="8.42578125" style="360" customWidth="1"/>
    <col min="2836" max="2837" width="6.28515625" style="360" customWidth="1"/>
    <col min="2838" max="2838" width="7.28515625" style="360" customWidth="1"/>
    <col min="2839" max="2840" width="6.28515625" style="360" customWidth="1"/>
    <col min="2841" max="2841" width="6.85546875" style="360" customWidth="1"/>
    <col min="2842" max="2842" width="6.7109375" style="360" customWidth="1"/>
    <col min="2843" max="2843" width="9.5703125" style="360" customWidth="1"/>
    <col min="2844" max="2854" width="6.28515625" style="360" customWidth="1"/>
    <col min="2855" max="3072" width="9.140625" style="360"/>
    <col min="3073" max="3073" width="27" style="360" customWidth="1"/>
    <col min="3074" max="3074" width="8.28515625" style="360" customWidth="1"/>
    <col min="3075" max="3076" width="0" style="360" hidden="1" customWidth="1"/>
    <col min="3077" max="3078" width="6.28515625" style="360" customWidth="1"/>
    <col min="3079" max="3079" width="7.140625" style="360" customWidth="1"/>
    <col min="3080" max="3080" width="6.28515625" style="360" customWidth="1"/>
    <col min="3081" max="3081" width="8.42578125" style="360" customWidth="1"/>
    <col min="3082" max="3085" width="7.85546875" style="360" customWidth="1"/>
    <col min="3086" max="3087" width="6.28515625" style="360" customWidth="1"/>
    <col min="3088" max="3088" width="7.85546875" style="360" customWidth="1"/>
    <col min="3089" max="3090" width="6.28515625" style="360" customWidth="1"/>
    <col min="3091" max="3091" width="8.42578125" style="360" customWidth="1"/>
    <col min="3092" max="3093" width="6.28515625" style="360" customWidth="1"/>
    <col min="3094" max="3094" width="7.28515625" style="360" customWidth="1"/>
    <col min="3095" max="3096" width="6.28515625" style="360" customWidth="1"/>
    <col min="3097" max="3097" width="6.85546875" style="360" customWidth="1"/>
    <col min="3098" max="3098" width="6.7109375" style="360" customWidth="1"/>
    <col min="3099" max="3099" width="9.5703125" style="360" customWidth="1"/>
    <col min="3100" max="3110" width="6.28515625" style="360" customWidth="1"/>
    <col min="3111" max="3328" width="9.140625" style="360"/>
    <col min="3329" max="3329" width="27" style="360" customWidth="1"/>
    <col min="3330" max="3330" width="8.28515625" style="360" customWidth="1"/>
    <col min="3331" max="3332" width="0" style="360" hidden="1" customWidth="1"/>
    <col min="3333" max="3334" width="6.28515625" style="360" customWidth="1"/>
    <col min="3335" max="3335" width="7.140625" style="360" customWidth="1"/>
    <col min="3336" max="3336" width="6.28515625" style="360" customWidth="1"/>
    <col min="3337" max="3337" width="8.42578125" style="360" customWidth="1"/>
    <col min="3338" max="3341" width="7.85546875" style="360" customWidth="1"/>
    <col min="3342" max="3343" width="6.28515625" style="360" customWidth="1"/>
    <col min="3344" max="3344" width="7.85546875" style="360" customWidth="1"/>
    <col min="3345" max="3346" width="6.28515625" style="360" customWidth="1"/>
    <col min="3347" max="3347" width="8.42578125" style="360" customWidth="1"/>
    <col min="3348" max="3349" width="6.28515625" style="360" customWidth="1"/>
    <col min="3350" max="3350" width="7.28515625" style="360" customWidth="1"/>
    <col min="3351" max="3352" width="6.28515625" style="360" customWidth="1"/>
    <col min="3353" max="3353" width="6.85546875" style="360" customWidth="1"/>
    <col min="3354" max="3354" width="6.7109375" style="360" customWidth="1"/>
    <col min="3355" max="3355" width="9.5703125" style="360" customWidth="1"/>
    <col min="3356" max="3366" width="6.28515625" style="360" customWidth="1"/>
    <col min="3367" max="3584" width="9.140625" style="360"/>
    <col min="3585" max="3585" width="27" style="360" customWidth="1"/>
    <col min="3586" max="3586" width="8.28515625" style="360" customWidth="1"/>
    <col min="3587" max="3588" width="0" style="360" hidden="1" customWidth="1"/>
    <col min="3589" max="3590" width="6.28515625" style="360" customWidth="1"/>
    <col min="3591" max="3591" width="7.140625" style="360" customWidth="1"/>
    <col min="3592" max="3592" width="6.28515625" style="360" customWidth="1"/>
    <col min="3593" max="3593" width="8.42578125" style="360" customWidth="1"/>
    <col min="3594" max="3597" width="7.85546875" style="360" customWidth="1"/>
    <col min="3598" max="3599" width="6.28515625" style="360" customWidth="1"/>
    <col min="3600" max="3600" width="7.85546875" style="360" customWidth="1"/>
    <col min="3601" max="3602" width="6.28515625" style="360" customWidth="1"/>
    <col min="3603" max="3603" width="8.42578125" style="360" customWidth="1"/>
    <col min="3604" max="3605" width="6.28515625" style="360" customWidth="1"/>
    <col min="3606" max="3606" width="7.28515625" style="360" customWidth="1"/>
    <col min="3607" max="3608" width="6.28515625" style="360" customWidth="1"/>
    <col min="3609" max="3609" width="6.85546875" style="360" customWidth="1"/>
    <col min="3610" max="3610" width="6.7109375" style="360" customWidth="1"/>
    <col min="3611" max="3611" width="9.5703125" style="360" customWidth="1"/>
    <col min="3612" max="3622" width="6.28515625" style="360" customWidth="1"/>
    <col min="3623" max="3840" width="9.140625" style="360"/>
    <col min="3841" max="3841" width="27" style="360" customWidth="1"/>
    <col min="3842" max="3842" width="8.28515625" style="360" customWidth="1"/>
    <col min="3843" max="3844" width="0" style="360" hidden="1" customWidth="1"/>
    <col min="3845" max="3846" width="6.28515625" style="360" customWidth="1"/>
    <col min="3847" max="3847" width="7.140625" style="360" customWidth="1"/>
    <col min="3848" max="3848" width="6.28515625" style="360" customWidth="1"/>
    <col min="3849" max="3849" width="8.42578125" style="360" customWidth="1"/>
    <col min="3850" max="3853" width="7.85546875" style="360" customWidth="1"/>
    <col min="3854" max="3855" width="6.28515625" style="360" customWidth="1"/>
    <col min="3856" max="3856" width="7.85546875" style="360" customWidth="1"/>
    <col min="3857" max="3858" width="6.28515625" style="360" customWidth="1"/>
    <col min="3859" max="3859" width="8.42578125" style="360" customWidth="1"/>
    <col min="3860" max="3861" width="6.28515625" style="360" customWidth="1"/>
    <col min="3862" max="3862" width="7.28515625" style="360" customWidth="1"/>
    <col min="3863" max="3864" width="6.28515625" style="360" customWidth="1"/>
    <col min="3865" max="3865" width="6.85546875" style="360" customWidth="1"/>
    <col min="3866" max="3866" width="6.7109375" style="360" customWidth="1"/>
    <col min="3867" max="3867" width="9.5703125" style="360" customWidth="1"/>
    <col min="3868" max="3878" width="6.28515625" style="360" customWidth="1"/>
    <col min="3879" max="4096" width="9.140625" style="360"/>
    <col min="4097" max="4097" width="27" style="360" customWidth="1"/>
    <col min="4098" max="4098" width="8.28515625" style="360" customWidth="1"/>
    <col min="4099" max="4100" width="0" style="360" hidden="1" customWidth="1"/>
    <col min="4101" max="4102" width="6.28515625" style="360" customWidth="1"/>
    <col min="4103" max="4103" width="7.140625" style="360" customWidth="1"/>
    <col min="4104" max="4104" width="6.28515625" style="360" customWidth="1"/>
    <col min="4105" max="4105" width="8.42578125" style="360" customWidth="1"/>
    <col min="4106" max="4109" width="7.85546875" style="360" customWidth="1"/>
    <col min="4110" max="4111" width="6.28515625" style="360" customWidth="1"/>
    <col min="4112" max="4112" width="7.85546875" style="360" customWidth="1"/>
    <col min="4113" max="4114" width="6.28515625" style="360" customWidth="1"/>
    <col min="4115" max="4115" width="8.42578125" style="360" customWidth="1"/>
    <col min="4116" max="4117" width="6.28515625" style="360" customWidth="1"/>
    <col min="4118" max="4118" width="7.28515625" style="360" customWidth="1"/>
    <col min="4119" max="4120" width="6.28515625" style="360" customWidth="1"/>
    <col min="4121" max="4121" width="6.85546875" style="360" customWidth="1"/>
    <col min="4122" max="4122" width="6.7109375" style="360" customWidth="1"/>
    <col min="4123" max="4123" width="9.5703125" style="360" customWidth="1"/>
    <col min="4124" max="4134" width="6.28515625" style="360" customWidth="1"/>
    <col min="4135" max="4352" width="9.140625" style="360"/>
    <col min="4353" max="4353" width="27" style="360" customWidth="1"/>
    <col min="4354" max="4354" width="8.28515625" style="360" customWidth="1"/>
    <col min="4355" max="4356" width="0" style="360" hidden="1" customWidth="1"/>
    <col min="4357" max="4358" width="6.28515625" style="360" customWidth="1"/>
    <col min="4359" max="4359" width="7.140625" style="360" customWidth="1"/>
    <col min="4360" max="4360" width="6.28515625" style="360" customWidth="1"/>
    <col min="4361" max="4361" width="8.42578125" style="360" customWidth="1"/>
    <col min="4362" max="4365" width="7.85546875" style="360" customWidth="1"/>
    <col min="4366" max="4367" width="6.28515625" style="360" customWidth="1"/>
    <col min="4368" max="4368" width="7.85546875" style="360" customWidth="1"/>
    <col min="4369" max="4370" width="6.28515625" style="360" customWidth="1"/>
    <col min="4371" max="4371" width="8.42578125" style="360" customWidth="1"/>
    <col min="4372" max="4373" width="6.28515625" style="360" customWidth="1"/>
    <col min="4374" max="4374" width="7.28515625" style="360" customWidth="1"/>
    <col min="4375" max="4376" width="6.28515625" style="360" customWidth="1"/>
    <col min="4377" max="4377" width="6.85546875" style="360" customWidth="1"/>
    <col min="4378" max="4378" width="6.7109375" style="360" customWidth="1"/>
    <col min="4379" max="4379" width="9.5703125" style="360" customWidth="1"/>
    <col min="4380" max="4390" width="6.28515625" style="360" customWidth="1"/>
    <col min="4391" max="4608" width="9.140625" style="360"/>
    <col min="4609" max="4609" width="27" style="360" customWidth="1"/>
    <col min="4610" max="4610" width="8.28515625" style="360" customWidth="1"/>
    <col min="4611" max="4612" width="0" style="360" hidden="1" customWidth="1"/>
    <col min="4613" max="4614" width="6.28515625" style="360" customWidth="1"/>
    <col min="4615" max="4615" width="7.140625" style="360" customWidth="1"/>
    <col min="4616" max="4616" width="6.28515625" style="360" customWidth="1"/>
    <col min="4617" max="4617" width="8.42578125" style="360" customWidth="1"/>
    <col min="4618" max="4621" width="7.85546875" style="360" customWidth="1"/>
    <col min="4622" max="4623" width="6.28515625" style="360" customWidth="1"/>
    <col min="4624" max="4624" width="7.85546875" style="360" customWidth="1"/>
    <col min="4625" max="4626" width="6.28515625" style="360" customWidth="1"/>
    <col min="4627" max="4627" width="8.42578125" style="360" customWidth="1"/>
    <col min="4628" max="4629" width="6.28515625" style="360" customWidth="1"/>
    <col min="4630" max="4630" width="7.28515625" style="360" customWidth="1"/>
    <col min="4631" max="4632" width="6.28515625" style="360" customWidth="1"/>
    <col min="4633" max="4633" width="6.85546875" style="360" customWidth="1"/>
    <col min="4634" max="4634" width="6.7109375" style="360" customWidth="1"/>
    <col min="4635" max="4635" width="9.5703125" style="360" customWidth="1"/>
    <col min="4636" max="4646" width="6.28515625" style="360" customWidth="1"/>
    <col min="4647" max="4864" width="9.140625" style="360"/>
    <col min="4865" max="4865" width="27" style="360" customWidth="1"/>
    <col min="4866" max="4866" width="8.28515625" style="360" customWidth="1"/>
    <col min="4867" max="4868" width="0" style="360" hidden="1" customWidth="1"/>
    <col min="4869" max="4870" width="6.28515625" style="360" customWidth="1"/>
    <col min="4871" max="4871" width="7.140625" style="360" customWidth="1"/>
    <col min="4872" max="4872" width="6.28515625" style="360" customWidth="1"/>
    <col min="4873" max="4873" width="8.42578125" style="360" customWidth="1"/>
    <col min="4874" max="4877" width="7.85546875" style="360" customWidth="1"/>
    <col min="4878" max="4879" width="6.28515625" style="360" customWidth="1"/>
    <col min="4880" max="4880" width="7.85546875" style="360" customWidth="1"/>
    <col min="4881" max="4882" width="6.28515625" style="360" customWidth="1"/>
    <col min="4883" max="4883" width="8.42578125" style="360" customWidth="1"/>
    <col min="4884" max="4885" width="6.28515625" style="360" customWidth="1"/>
    <col min="4886" max="4886" width="7.28515625" style="360" customWidth="1"/>
    <col min="4887" max="4888" width="6.28515625" style="360" customWidth="1"/>
    <col min="4889" max="4889" width="6.85546875" style="360" customWidth="1"/>
    <col min="4890" max="4890" width="6.7109375" style="360" customWidth="1"/>
    <col min="4891" max="4891" width="9.5703125" style="360" customWidth="1"/>
    <col min="4892" max="4902" width="6.28515625" style="360" customWidth="1"/>
    <col min="4903" max="5120" width="9.140625" style="360"/>
    <col min="5121" max="5121" width="27" style="360" customWidth="1"/>
    <col min="5122" max="5122" width="8.28515625" style="360" customWidth="1"/>
    <col min="5123" max="5124" width="0" style="360" hidden="1" customWidth="1"/>
    <col min="5125" max="5126" width="6.28515625" style="360" customWidth="1"/>
    <col min="5127" max="5127" width="7.140625" style="360" customWidth="1"/>
    <col min="5128" max="5128" width="6.28515625" style="360" customWidth="1"/>
    <col min="5129" max="5129" width="8.42578125" style="360" customWidth="1"/>
    <col min="5130" max="5133" width="7.85546875" style="360" customWidth="1"/>
    <col min="5134" max="5135" width="6.28515625" style="360" customWidth="1"/>
    <col min="5136" max="5136" width="7.85546875" style="360" customWidth="1"/>
    <col min="5137" max="5138" width="6.28515625" style="360" customWidth="1"/>
    <col min="5139" max="5139" width="8.42578125" style="360" customWidth="1"/>
    <col min="5140" max="5141" width="6.28515625" style="360" customWidth="1"/>
    <col min="5142" max="5142" width="7.28515625" style="360" customWidth="1"/>
    <col min="5143" max="5144" width="6.28515625" style="360" customWidth="1"/>
    <col min="5145" max="5145" width="6.85546875" style="360" customWidth="1"/>
    <col min="5146" max="5146" width="6.7109375" style="360" customWidth="1"/>
    <col min="5147" max="5147" width="9.5703125" style="360" customWidth="1"/>
    <col min="5148" max="5158" width="6.28515625" style="360" customWidth="1"/>
    <col min="5159" max="5376" width="9.140625" style="360"/>
    <col min="5377" max="5377" width="27" style="360" customWidth="1"/>
    <col min="5378" max="5378" width="8.28515625" style="360" customWidth="1"/>
    <col min="5379" max="5380" width="0" style="360" hidden="1" customWidth="1"/>
    <col min="5381" max="5382" width="6.28515625" style="360" customWidth="1"/>
    <col min="5383" max="5383" width="7.140625" style="360" customWidth="1"/>
    <col min="5384" max="5384" width="6.28515625" style="360" customWidth="1"/>
    <col min="5385" max="5385" width="8.42578125" style="360" customWidth="1"/>
    <col min="5386" max="5389" width="7.85546875" style="360" customWidth="1"/>
    <col min="5390" max="5391" width="6.28515625" style="360" customWidth="1"/>
    <col min="5392" max="5392" width="7.85546875" style="360" customWidth="1"/>
    <col min="5393" max="5394" width="6.28515625" style="360" customWidth="1"/>
    <col min="5395" max="5395" width="8.42578125" style="360" customWidth="1"/>
    <col min="5396" max="5397" width="6.28515625" style="360" customWidth="1"/>
    <col min="5398" max="5398" width="7.28515625" style="360" customWidth="1"/>
    <col min="5399" max="5400" width="6.28515625" style="360" customWidth="1"/>
    <col min="5401" max="5401" width="6.85546875" style="360" customWidth="1"/>
    <col min="5402" max="5402" width="6.7109375" style="360" customWidth="1"/>
    <col min="5403" max="5403" width="9.5703125" style="360" customWidth="1"/>
    <col min="5404" max="5414" width="6.28515625" style="360" customWidth="1"/>
    <col min="5415" max="5632" width="9.140625" style="360"/>
    <col min="5633" max="5633" width="27" style="360" customWidth="1"/>
    <col min="5634" max="5634" width="8.28515625" style="360" customWidth="1"/>
    <col min="5635" max="5636" width="0" style="360" hidden="1" customWidth="1"/>
    <col min="5637" max="5638" width="6.28515625" style="360" customWidth="1"/>
    <col min="5639" max="5639" width="7.140625" style="360" customWidth="1"/>
    <col min="5640" max="5640" width="6.28515625" style="360" customWidth="1"/>
    <col min="5641" max="5641" width="8.42578125" style="360" customWidth="1"/>
    <col min="5642" max="5645" width="7.85546875" style="360" customWidth="1"/>
    <col min="5646" max="5647" width="6.28515625" style="360" customWidth="1"/>
    <col min="5648" max="5648" width="7.85546875" style="360" customWidth="1"/>
    <col min="5649" max="5650" width="6.28515625" style="360" customWidth="1"/>
    <col min="5651" max="5651" width="8.42578125" style="360" customWidth="1"/>
    <col min="5652" max="5653" width="6.28515625" style="360" customWidth="1"/>
    <col min="5654" max="5654" width="7.28515625" style="360" customWidth="1"/>
    <col min="5655" max="5656" width="6.28515625" style="360" customWidth="1"/>
    <col min="5657" max="5657" width="6.85546875" style="360" customWidth="1"/>
    <col min="5658" max="5658" width="6.7109375" style="360" customWidth="1"/>
    <col min="5659" max="5659" width="9.5703125" style="360" customWidth="1"/>
    <col min="5660" max="5670" width="6.28515625" style="360" customWidth="1"/>
    <col min="5671" max="5888" width="9.140625" style="360"/>
    <col min="5889" max="5889" width="27" style="360" customWidth="1"/>
    <col min="5890" max="5890" width="8.28515625" style="360" customWidth="1"/>
    <col min="5891" max="5892" width="0" style="360" hidden="1" customWidth="1"/>
    <col min="5893" max="5894" width="6.28515625" style="360" customWidth="1"/>
    <col min="5895" max="5895" width="7.140625" style="360" customWidth="1"/>
    <col min="5896" max="5896" width="6.28515625" style="360" customWidth="1"/>
    <col min="5897" max="5897" width="8.42578125" style="360" customWidth="1"/>
    <col min="5898" max="5901" width="7.85546875" style="360" customWidth="1"/>
    <col min="5902" max="5903" width="6.28515625" style="360" customWidth="1"/>
    <col min="5904" max="5904" width="7.85546875" style="360" customWidth="1"/>
    <col min="5905" max="5906" width="6.28515625" style="360" customWidth="1"/>
    <col min="5907" max="5907" width="8.42578125" style="360" customWidth="1"/>
    <col min="5908" max="5909" width="6.28515625" style="360" customWidth="1"/>
    <col min="5910" max="5910" width="7.28515625" style="360" customWidth="1"/>
    <col min="5911" max="5912" width="6.28515625" style="360" customWidth="1"/>
    <col min="5913" max="5913" width="6.85546875" style="360" customWidth="1"/>
    <col min="5914" max="5914" width="6.7109375" style="360" customWidth="1"/>
    <col min="5915" max="5915" width="9.5703125" style="360" customWidth="1"/>
    <col min="5916" max="5926" width="6.28515625" style="360" customWidth="1"/>
    <col min="5927" max="6144" width="9.140625" style="360"/>
    <col min="6145" max="6145" width="27" style="360" customWidth="1"/>
    <col min="6146" max="6146" width="8.28515625" style="360" customWidth="1"/>
    <col min="6147" max="6148" width="0" style="360" hidden="1" customWidth="1"/>
    <col min="6149" max="6150" width="6.28515625" style="360" customWidth="1"/>
    <col min="6151" max="6151" width="7.140625" style="360" customWidth="1"/>
    <col min="6152" max="6152" width="6.28515625" style="360" customWidth="1"/>
    <col min="6153" max="6153" width="8.42578125" style="360" customWidth="1"/>
    <col min="6154" max="6157" width="7.85546875" style="360" customWidth="1"/>
    <col min="6158" max="6159" width="6.28515625" style="360" customWidth="1"/>
    <col min="6160" max="6160" width="7.85546875" style="360" customWidth="1"/>
    <col min="6161" max="6162" width="6.28515625" style="360" customWidth="1"/>
    <col min="6163" max="6163" width="8.42578125" style="360" customWidth="1"/>
    <col min="6164" max="6165" width="6.28515625" style="360" customWidth="1"/>
    <col min="6166" max="6166" width="7.28515625" style="360" customWidth="1"/>
    <col min="6167" max="6168" width="6.28515625" style="360" customWidth="1"/>
    <col min="6169" max="6169" width="6.85546875" style="360" customWidth="1"/>
    <col min="6170" max="6170" width="6.7109375" style="360" customWidth="1"/>
    <col min="6171" max="6171" width="9.5703125" style="360" customWidth="1"/>
    <col min="6172" max="6182" width="6.28515625" style="360" customWidth="1"/>
    <col min="6183" max="6400" width="9.140625" style="360"/>
    <col min="6401" max="6401" width="27" style="360" customWidth="1"/>
    <col min="6402" max="6402" width="8.28515625" style="360" customWidth="1"/>
    <col min="6403" max="6404" width="0" style="360" hidden="1" customWidth="1"/>
    <col min="6405" max="6406" width="6.28515625" style="360" customWidth="1"/>
    <col min="6407" max="6407" width="7.140625" style="360" customWidth="1"/>
    <col min="6408" max="6408" width="6.28515625" style="360" customWidth="1"/>
    <col min="6409" max="6409" width="8.42578125" style="360" customWidth="1"/>
    <col min="6410" max="6413" width="7.85546875" style="360" customWidth="1"/>
    <col min="6414" max="6415" width="6.28515625" style="360" customWidth="1"/>
    <col min="6416" max="6416" width="7.85546875" style="360" customWidth="1"/>
    <col min="6417" max="6418" width="6.28515625" style="360" customWidth="1"/>
    <col min="6419" max="6419" width="8.42578125" style="360" customWidth="1"/>
    <col min="6420" max="6421" width="6.28515625" style="360" customWidth="1"/>
    <col min="6422" max="6422" width="7.28515625" style="360" customWidth="1"/>
    <col min="6423" max="6424" width="6.28515625" style="360" customWidth="1"/>
    <col min="6425" max="6425" width="6.85546875" style="360" customWidth="1"/>
    <col min="6426" max="6426" width="6.7109375" style="360" customWidth="1"/>
    <col min="6427" max="6427" width="9.5703125" style="360" customWidth="1"/>
    <col min="6428" max="6438" width="6.28515625" style="360" customWidth="1"/>
    <col min="6439" max="6656" width="9.140625" style="360"/>
    <col min="6657" max="6657" width="27" style="360" customWidth="1"/>
    <col min="6658" max="6658" width="8.28515625" style="360" customWidth="1"/>
    <col min="6659" max="6660" width="0" style="360" hidden="1" customWidth="1"/>
    <col min="6661" max="6662" width="6.28515625" style="360" customWidth="1"/>
    <col min="6663" max="6663" width="7.140625" style="360" customWidth="1"/>
    <col min="6664" max="6664" width="6.28515625" style="360" customWidth="1"/>
    <col min="6665" max="6665" width="8.42578125" style="360" customWidth="1"/>
    <col min="6666" max="6669" width="7.85546875" style="360" customWidth="1"/>
    <col min="6670" max="6671" width="6.28515625" style="360" customWidth="1"/>
    <col min="6672" max="6672" width="7.85546875" style="360" customWidth="1"/>
    <col min="6673" max="6674" width="6.28515625" style="360" customWidth="1"/>
    <col min="6675" max="6675" width="8.42578125" style="360" customWidth="1"/>
    <col min="6676" max="6677" width="6.28515625" style="360" customWidth="1"/>
    <col min="6678" max="6678" width="7.28515625" style="360" customWidth="1"/>
    <col min="6679" max="6680" width="6.28515625" style="360" customWidth="1"/>
    <col min="6681" max="6681" width="6.85546875" style="360" customWidth="1"/>
    <col min="6682" max="6682" width="6.7109375" style="360" customWidth="1"/>
    <col min="6683" max="6683" width="9.5703125" style="360" customWidth="1"/>
    <col min="6684" max="6694" width="6.28515625" style="360" customWidth="1"/>
    <col min="6695" max="6912" width="9.140625" style="360"/>
    <col min="6913" max="6913" width="27" style="360" customWidth="1"/>
    <col min="6914" max="6914" width="8.28515625" style="360" customWidth="1"/>
    <col min="6915" max="6916" width="0" style="360" hidden="1" customWidth="1"/>
    <col min="6917" max="6918" width="6.28515625" style="360" customWidth="1"/>
    <col min="6919" max="6919" width="7.140625" style="360" customWidth="1"/>
    <col min="6920" max="6920" width="6.28515625" style="360" customWidth="1"/>
    <col min="6921" max="6921" width="8.42578125" style="360" customWidth="1"/>
    <col min="6922" max="6925" width="7.85546875" style="360" customWidth="1"/>
    <col min="6926" max="6927" width="6.28515625" style="360" customWidth="1"/>
    <col min="6928" max="6928" width="7.85546875" style="360" customWidth="1"/>
    <col min="6929" max="6930" width="6.28515625" style="360" customWidth="1"/>
    <col min="6931" max="6931" width="8.42578125" style="360" customWidth="1"/>
    <col min="6932" max="6933" width="6.28515625" style="360" customWidth="1"/>
    <col min="6934" max="6934" width="7.28515625" style="360" customWidth="1"/>
    <col min="6935" max="6936" width="6.28515625" style="360" customWidth="1"/>
    <col min="6937" max="6937" width="6.85546875" style="360" customWidth="1"/>
    <col min="6938" max="6938" width="6.7109375" style="360" customWidth="1"/>
    <col min="6939" max="6939" width="9.5703125" style="360" customWidth="1"/>
    <col min="6940" max="6950" width="6.28515625" style="360" customWidth="1"/>
    <col min="6951" max="7168" width="9.140625" style="360"/>
    <col min="7169" max="7169" width="27" style="360" customWidth="1"/>
    <col min="7170" max="7170" width="8.28515625" style="360" customWidth="1"/>
    <col min="7171" max="7172" width="0" style="360" hidden="1" customWidth="1"/>
    <col min="7173" max="7174" width="6.28515625" style="360" customWidth="1"/>
    <col min="7175" max="7175" width="7.140625" style="360" customWidth="1"/>
    <col min="7176" max="7176" width="6.28515625" style="360" customWidth="1"/>
    <col min="7177" max="7177" width="8.42578125" style="360" customWidth="1"/>
    <col min="7178" max="7181" width="7.85546875" style="360" customWidth="1"/>
    <col min="7182" max="7183" width="6.28515625" style="360" customWidth="1"/>
    <col min="7184" max="7184" width="7.85546875" style="360" customWidth="1"/>
    <col min="7185" max="7186" width="6.28515625" style="360" customWidth="1"/>
    <col min="7187" max="7187" width="8.42578125" style="360" customWidth="1"/>
    <col min="7188" max="7189" width="6.28515625" style="360" customWidth="1"/>
    <col min="7190" max="7190" width="7.28515625" style="360" customWidth="1"/>
    <col min="7191" max="7192" width="6.28515625" style="360" customWidth="1"/>
    <col min="7193" max="7193" width="6.85546875" style="360" customWidth="1"/>
    <col min="7194" max="7194" width="6.7109375" style="360" customWidth="1"/>
    <col min="7195" max="7195" width="9.5703125" style="360" customWidth="1"/>
    <col min="7196" max="7206" width="6.28515625" style="360" customWidth="1"/>
    <col min="7207" max="7424" width="9.140625" style="360"/>
    <col min="7425" max="7425" width="27" style="360" customWidth="1"/>
    <col min="7426" max="7426" width="8.28515625" style="360" customWidth="1"/>
    <col min="7427" max="7428" width="0" style="360" hidden="1" customWidth="1"/>
    <col min="7429" max="7430" width="6.28515625" style="360" customWidth="1"/>
    <col min="7431" max="7431" width="7.140625" style="360" customWidth="1"/>
    <col min="7432" max="7432" width="6.28515625" style="360" customWidth="1"/>
    <col min="7433" max="7433" width="8.42578125" style="360" customWidth="1"/>
    <col min="7434" max="7437" width="7.85546875" style="360" customWidth="1"/>
    <col min="7438" max="7439" width="6.28515625" style="360" customWidth="1"/>
    <col min="7440" max="7440" width="7.85546875" style="360" customWidth="1"/>
    <col min="7441" max="7442" width="6.28515625" style="360" customWidth="1"/>
    <col min="7443" max="7443" width="8.42578125" style="360" customWidth="1"/>
    <col min="7444" max="7445" width="6.28515625" style="360" customWidth="1"/>
    <col min="7446" max="7446" width="7.28515625" style="360" customWidth="1"/>
    <col min="7447" max="7448" width="6.28515625" style="360" customWidth="1"/>
    <col min="7449" max="7449" width="6.85546875" style="360" customWidth="1"/>
    <col min="7450" max="7450" width="6.7109375" style="360" customWidth="1"/>
    <col min="7451" max="7451" width="9.5703125" style="360" customWidth="1"/>
    <col min="7452" max="7462" width="6.28515625" style="360" customWidth="1"/>
    <col min="7463" max="7680" width="9.140625" style="360"/>
    <col min="7681" max="7681" width="27" style="360" customWidth="1"/>
    <col min="7682" max="7682" width="8.28515625" style="360" customWidth="1"/>
    <col min="7683" max="7684" width="0" style="360" hidden="1" customWidth="1"/>
    <col min="7685" max="7686" width="6.28515625" style="360" customWidth="1"/>
    <col min="7687" max="7687" width="7.140625" style="360" customWidth="1"/>
    <col min="7688" max="7688" width="6.28515625" style="360" customWidth="1"/>
    <col min="7689" max="7689" width="8.42578125" style="360" customWidth="1"/>
    <col min="7690" max="7693" width="7.85546875" style="360" customWidth="1"/>
    <col min="7694" max="7695" width="6.28515625" style="360" customWidth="1"/>
    <col min="7696" max="7696" width="7.85546875" style="360" customWidth="1"/>
    <col min="7697" max="7698" width="6.28515625" style="360" customWidth="1"/>
    <col min="7699" max="7699" width="8.42578125" style="360" customWidth="1"/>
    <col min="7700" max="7701" width="6.28515625" style="360" customWidth="1"/>
    <col min="7702" max="7702" width="7.28515625" style="360" customWidth="1"/>
    <col min="7703" max="7704" width="6.28515625" style="360" customWidth="1"/>
    <col min="7705" max="7705" width="6.85546875" style="360" customWidth="1"/>
    <col min="7706" max="7706" width="6.7109375" style="360" customWidth="1"/>
    <col min="7707" max="7707" width="9.5703125" style="360" customWidth="1"/>
    <col min="7708" max="7718" width="6.28515625" style="360" customWidth="1"/>
    <col min="7719" max="7936" width="9.140625" style="360"/>
    <col min="7937" max="7937" width="27" style="360" customWidth="1"/>
    <col min="7938" max="7938" width="8.28515625" style="360" customWidth="1"/>
    <col min="7939" max="7940" width="0" style="360" hidden="1" customWidth="1"/>
    <col min="7941" max="7942" width="6.28515625" style="360" customWidth="1"/>
    <col min="7943" max="7943" width="7.140625" style="360" customWidth="1"/>
    <col min="7944" max="7944" width="6.28515625" style="360" customWidth="1"/>
    <col min="7945" max="7945" width="8.42578125" style="360" customWidth="1"/>
    <col min="7946" max="7949" width="7.85546875" style="360" customWidth="1"/>
    <col min="7950" max="7951" width="6.28515625" style="360" customWidth="1"/>
    <col min="7952" max="7952" width="7.85546875" style="360" customWidth="1"/>
    <col min="7953" max="7954" width="6.28515625" style="360" customWidth="1"/>
    <col min="7955" max="7955" width="8.42578125" style="360" customWidth="1"/>
    <col min="7956" max="7957" width="6.28515625" style="360" customWidth="1"/>
    <col min="7958" max="7958" width="7.28515625" style="360" customWidth="1"/>
    <col min="7959" max="7960" width="6.28515625" style="360" customWidth="1"/>
    <col min="7961" max="7961" width="6.85546875" style="360" customWidth="1"/>
    <col min="7962" max="7962" width="6.7109375" style="360" customWidth="1"/>
    <col min="7963" max="7963" width="9.5703125" style="360" customWidth="1"/>
    <col min="7964" max="7974" width="6.28515625" style="360" customWidth="1"/>
    <col min="7975" max="8192" width="9.140625" style="360"/>
    <col min="8193" max="8193" width="27" style="360" customWidth="1"/>
    <col min="8194" max="8194" width="8.28515625" style="360" customWidth="1"/>
    <col min="8195" max="8196" width="0" style="360" hidden="1" customWidth="1"/>
    <col min="8197" max="8198" width="6.28515625" style="360" customWidth="1"/>
    <col min="8199" max="8199" width="7.140625" style="360" customWidth="1"/>
    <col min="8200" max="8200" width="6.28515625" style="360" customWidth="1"/>
    <col min="8201" max="8201" width="8.42578125" style="360" customWidth="1"/>
    <col min="8202" max="8205" width="7.85546875" style="360" customWidth="1"/>
    <col min="8206" max="8207" width="6.28515625" style="360" customWidth="1"/>
    <col min="8208" max="8208" width="7.85546875" style="360" customWidth="1"/>
    <col min="8209" max="8210" width="6.28515625" style="360" customWidth="1"/>
    <col min="8211" max="8211" width="8.42578125" style="360" customWidth="1"/>
    <col min="8212" max="8213" width="6.28515625" style="360" customWidth="1"/>
    <col min="8214" max="8214" width="7.28515625" style="360" customWidth="1"/>
    <col min="8215" max="8216" width="6.28515625" style="360" customWidth="1"/>
    <col min="8217" max="8217" width="6.85546875" style="360" customWidth="1"/>
    <col min="8218" max="8218" width="6.7109375" style="360" customWidth="1"/>
    <col min="8219" max="8219" width="9.5703125" style="360" customWidth="1"/>
    <col min="8220" max="8230" width="6.28515625" style="360" customWidth="1"/>
    <col min="8231" max="8448" width="9.140625" style="360"/>
    <col min="8449" max="8449" width="27" style="360" customWidth="1"/>
    <col min="8450" max="8450" width="8.28515625" style="360" customWidth="1"/>
    <col min="8451" max="8452" width="0" style="360" hidden="1" customWidth="1"/>
    <col min="8453" max="8454" width="6.28515625" style="360" customWidth="1"/>
    <col min="8455" max="8455" width="7.140625" style="360" customWidth="1"/>
    <col min="8456" max="8456" width="6.28515625" style="360" customWidth="1"/>
    <col min="8457" max="8457" width="8.42578125" style="360" customWidth="1"/>
    <col min="8458" max="8461" width="7.85546875" style="360" customWidth="1"/>
    <col min="8462" max="8463" width="6.28515625" style="360" customWidth="1"/>
    <col min="8464" max="8464" width="7.85546875" style="360" customWidth="1"/>
    <col min="8465" max="8466" width="6.28515625" style="360" customWidth="1"/>
    <col min="8467" max="8467" width="8.42578125" style="360" customWidth="1"/>
    <col min="8468" max="8469" width="6.28515625" style="360" customWidth="1"/>
    <col min="8470" max="8470" width="7.28515625" style="360" customWidth="1"/>
    <col min="8471" max="8472" width="6.28515625" style="360" customWidth="1"/>
    <col min="8473" max="8473" width="6.85546875" style="360" customWidth="1"/>
    <col min="8474" max="8474" width="6.7109375" style="360" customWidth="1"/>
    <col min="8475" max="8475" width="9.5703125" style="360" customWidth="1"/>
    <col min="8476" max="8486" width="6.28515625" style="360" customWidth="1"/>
    <col min="8487" max="8704" width="9.140625" style="360"/>
    <col min="8705" max="8705" width="27" style="360" customWidth="1"/>
    <col min="8706" max="8706" width="8.28515625" style="360" customWidth="1"/>
    <col min="8707" max="8708" width="0" style="360" hidden="1" customWidth="1"/>
    <col min="8709" max="8710" width="6.28515625" style="360" customWidth="1"/>
    <col min="8711" max="8711" width="7.140625" style="360" customWidth="1"/>
    <col min="8712" max="8712" width="6.28515625" style="360" customWidth="1"/>
    <col min="8713" max="8713" width="8.42578125" style="360" customWidth="1"/>
    <col min="8714" max="8717" width="7.85546875" style="360" customWidth="1"/>
    <col min="8718" max="8719" width="6.28515625" style="360" customWidth="1"/>
    <col min="8720" max="8720" width="7.85546875" style="360" customWidth="1"/>
    <col min="8721" max="8722" width="6.28515625" style="360" customWidth="1"/>
    <col min="8723" max="8723" width="8.42578125" style="360" customWidth="1"/>
    <col min="8724" max="8725" width="6.28515625" style="360" customWidth="1"/>
    <col min="8726" max="8726" width="7.28515625" style="360" customWidth="1"/>
    <col min="8727" max="8728" width="6.28515625" style="360" customWidth="1"/>
    <col min="8729" max="8729" width="6.85546875" style="360" customWidth="1"/>
    <col min="8730" max="8730" width="6.7109375" style="360" customWidth="1"/>
    <col min="8731" max="8731" width="9.5703125" style="360" customWidth="1"/>
    <col min="8732" max="8742" width="6.28515625" style="360" customWidth="1"/>
    <col min="8743" max="8960" width="9.140625" style="360"/>
    <col min="8961" max="8961" width="27" style="360" customWidth="1"/>
    <col min="8962" max="8962" width="8.28515625" style="360" customWidth="1"/>
    <col min="8963" max="8964" width="0" style="360" hidden="1" customWidth="1"/>
    <col min="8965" max="8966" width="6.28515625" style="360" customWidth="1"/>
    <col min="8967" max="8967" width="7.140625" style="360" customWidth="1"/>
    <col min="8968" max="8968" width="6.28515625" style="360" customWidth="1"/>
    <col min="8969" max="8969" width="8.42578125" style="360" customWidth="1"/>
    <col min="8970" max="8973" width="7.85546875" style="360" customWidth="1"/>
    <col min="8974" max="8975" width="6.28515625" style="360" customWidth="1"/>
    <col min="8976" max="8976" width="7.85546875" style="360" customWidth="1"/>
    <col min="8977" max="8978" width="6.28515625" style="360" customWidth="1"/>
    <col min="8979" max="8979" width="8.42578125" style="360" customWidth="1"/>
    <col min="8980" max="8981" width="6.28515625" style="360" customWidth="1"/>
    <col min="8982" max="8982" width="7.28515625" style="360" customWidth="1"/>
    <col min="8983" max="8984" width="6.28515625" style="360" customWidth="1"/>
    <col min="8985" max="8985" width="6.85546875" style="360" customWidth="1"/>
    <col min="8986" max="8986" width="6.7109375" style="360" customWidth="1"/>
    <col min="8987" max="8987" width="9.5703125" style="360" customWidth="1"/>
    <col min="8988" max="8998" width="6.28515625" style="360" customWidth="1"/>
    <col min="8999" max="9216" width="9.140625" style="360"/>
    <col min="9217" max="9217" width="27" style="360" customWidth="1"/>
    <col min="9218" max="9218" width="8.28515625" style="360" customWidth="1"/>
    <col min="9219" max="9220" width="0" style="360" hidden="1" customWidth="1"/>
    <col min="9221" max="9222" width="6.28515625" style="360" customWidth="1"/>
    <col min="9223" max="9223" width="7.140625" style="360" customWidth="1"/>
    <col min="9224" max="9224" width="6.28515625" style="360" customWidth="1"/>
    <col min="9225" max="9225" width="8.42578125" style="360" customWidth="1"/>
    <col min="9226" max="9229" width="7.85546875" style="360" customWidth="1"/>
    <col min="9230" max="9231" width="6.28515625" style="360" customWidth="1"/>
    <col min="9232" max="9232" width="7.85546875" style="360" customWidth="1"/>
    <col min="9233" max="9234" width="6.28515625" style="360" customWidth="1"/>
    <col min="9235" max="9235" width="8.42578125" style="360" customWidth="1"/>
    <col min="9236" max="9237" width="6.28515625" style="360" customWidth="1"/>
    <col min="9238" max="9238" width="7.28515625" style="360" customWidth="1"/>
    <col min="9239" max="9240" width="6.28515625" style="360" customWidth="1"/>
    <col min="9241" max="9241" width="6.85546875" style="360" customWidth="1"/>
    <col min="9242" max="9242" width="6.7109375" style="360" customWidth="1"/>
    <col min="9243" max="9243" width="9.5703125" style="360" customWidth="1"/>
    <col min="9244" max="9254" width="6.28515625" style="360" customWidth="1"/>
    <col min="9255" max="9472" width="9.140625" style="360"/>
    <col min="9473" max="9473" width="27" style="360" customWidth="1"/>
    <col min="9474" max="9474" width="8.28515625" style="360" customWidth="1"/>
    <col min="9475" max="9476" width="0" style="360" hidden="1" customWidth="1"/>
    <col min="9477" max="9478" width="6.28515625" style="360" customWidth="1"/>
    <col min="9479" max="9479" width="7.140625" style="360" customWidth="1"/>
    <col min="9480" max="9480" width="6.28515625" style="360" customWidth="1"/>
    <col min="9481" max="9481" width="8.42578125" style="360" customWidth="1"/>
    <col min="9482" max="9485" width="7.85546875" style="360" customWidth="1"/>
    <col min="9486" max="9487" width="6.28515625" style="360" customWidth="1"/>
    <col min="9488" max="9488" width="7.85546875" style="360" customWidth="1"/>
    <col min="9489" max="9490" width="6.28515625" style="360" customWidth="1"/>
    <col min="9491" max="9491" width="8.42578125" style="360" customWidth="1"/>
    <col min="9492" max="9493" width="6.28515625" style="360" customWidth="1"/>
    <col min="9494" max="9494" width="7.28515625" style="360" customWidth="1"/>
    <col min="9495" max="9496" width="6.28515625" style="360" customWidth="1"/>
    <col min="9497" max="9497" width="6.85546875" style="360" customWidth="1"/>
    <col min="9498" max="9498" width="6.7109375" style="360" customWidth="1"/>
    <col min="9499" max="9499" width="9.5703125" style="360" customWidth="1"/>
    <col min="9500" max="9510" width="6.28515625" style="360" customWidth="1"/>
    <col min="9511" max="9728" width="9.140625" style="360"/>
    <col min="9729" max="9729" width="27" style="360" customWidth="1"/>
    <col min="9730" max="9730" width="8.28515625" style="360" customWidth="1"/>
    <col min="9731" max="9732" width="0" style="360" hidden="1" customWidth="1"/>
    <col min="9733" max="9734" width="6.28515625" style="360" customWidth="1"/>
    <col min="9735" max="9735" width="7.140625" style="360" customWidth="1"/>
    <col min="9736" max="9736" width="6.28515625" style="360" customWidth="1"/>
    <col min="9737" max="9737" width="8.42578125" style="360" customWidth="1"/>
    <col min="9738" max="9741" width="7.85546875" style="360" customWidth="1"/>
    <col min="9742" max="9743" width="6.28515625" style="360" customWidth="1"/>
    <col min="9744" max="9744" width="7.85546875" style="360" customWidth="1"/>
    <col min="9745" max="9746" width="6.28515625" style="360" customWidth="1"/>
    <col min="9747" max="9747" width="8.42578125" style="360" customWidth="1"/>
    <col min="9748" max="9749" width="6.28515625" style="360" customWidth="1"/>
    <col min="9750" max="9750" width="7.28515625" style="360" customWidth="1"/>
    <col min="9751" max="9752" width="6.28515625" style="360" customWidth="1"/>
    <col min="9753" max="9753" width="6.85546875" style="360" customWidth="1"/>
    <col min="9754" max="9754" width="6.7109375" style="360" customWidth="1"/>
    <col min="9755" max="9755" width="9.5703125" style="360" customWidth="1"/>
    <col min="9756" max="9766" width="6.28515625" style="360" customWidth="1"/>
    <col min="9767" max="9984" width="9.140625" style="360"/>
    <col min="9985" max="9985" width="27" style="360" customWidth="1"/>
    <col min="9986" max="9986" width="8.28515625" style="360" customWidth="1"/>
    <col min="9987" max="9988" width="0" style="360" hidden="1" customWidth="1"/>
    <col min="9989" max="9990" width="6.28515625" style="360" customWidth="1"/>
    <col min="9991" max="9991" width="7.140625" style="360" customWidth="1"/>
    <col min="9992" max="9992" width="6.28515625" style="360" customWidth="1"/>
    <col min="9993" max="9993" width="8.42578125" style="360" customWidth="1"/>
    <col min="9994" max="9997" width="7.85546875" style="360" customWidth="1"/>
    <col min="9998" max="9999" width="6.28515625" style="360" customWidth="1"/>
    <col min="10000" max="10000" width="7.85546875" style="360" customWidth="1"/>
    <col min="10001" max="10002" width="6.28515625" style="360" customWidth="1"/>
    <col min="10003" max="10003" width="8.42578125" style="360" customWidth="1"/>
    <col min="10004" max="10005" width="6.28515625" style="360" customWidth="1"/>
    <col min="10006" max="10006" width="7.28515625" style="360" customWidth="1"/>
    <col min="10007" max="10008" width="6.28515625" style="360" customWidth="1"/>
    <col min="10009" max="10009" width="6.85546875" style="360" customWidth="1"/>
    <col min="10010" max="10010" width="6.7109375" style="360" customWidth="1"/>
    <col min="10011" max="10011" width="9.5703125" style="360" customWidth="1"/>
    <col min="10012" max="10022" width="6.28515625" style="360" customWidth="1"/>
    <col min="10023" max="10240" width="9.140625" style="360"/>
    <col min="10241" max="10241" width="27" style="360" customWidth="1"/>
    <col min="10242" max="10242" width="8.28515625" style="360" customWidth="1"/>
    <col min="10243" max="10244" width="0" style="360" hidden="1" customWidth="1"/>
    <col min="10245" max="10246" width="6.28515625" style="360" customWidth="1"/>
    <col min="10247" max="10247" width="7.140625" style="360" customWidth="1"/>
    <col min="10248" max="10248" width="6.28515625" style="360" customWidth="1"/>
    <col min="10249" max="10249" width="8.42578125" style="360" customWidth="1"/>
    <col min="10250" max="10253" width="7.85546875" style="360" customWidth="1"/>
    <col min="10254" max="10255" width="6.28515625" style="360" customWidth="1"/>
    <col min="10256" max="10256" width="7.85546875" style="360" customWidth="1"/>
    <col min="10257" max="10258" width="6.28515625" style="360" customWidth="1"/>
    <col min="10259" max="10259" width="8.42578125" style="360" customWidth="1"/>
    <col min="10260" max="10261" width="6.28515625" style="360" customWidth="1"/>
    <col min="10262" max="10262" width="7.28515625" style="360" customWidth="1"/>
    <col min="10263" max="10264" width="6.28515625" style="360" customWidth="1"/>
    <col min="10265" max="10265" width="6.85546875" style="360" customWidth="1"/>
    <col min="10266" max="10266" width="6.7109375" style="360" customWidth="1"/>
    <col min="10267" max="10267" width="9.5703125" style="360" customWidth="1"/>
    <col min="10268" max="10278" width="6.28515625" style="360" customWidth="1"/>
    <col min="10279" max="10496" width="9.140625" style="360"/>
    <col min="10497" max="10497" width="27" style="360" customWidth="1"/>
    <col min="10498" max="10498" width="8.28515625" style="360" customWidth="1"/>
    <col min="10499" max="10500" width="0" style="360" hidden="1" customWidth="1"/>
    <col min="10501" max="10502" width="6.28515625" style="360" customWidth="1"/>
    <col min="10503" max="10503" width="7.140625" style="360" customWidth="1"/>
    <col min="10504" max="10504" width="6.28515625" style="360" customWidth="1"/>
    <col min="10505" max="10505" width="8.42578125" style="360" customWidth="1"/>
    <col min="10506" max="10509" width="7.85546875" style="360" customWidth="1"/>
    <col min="10510" max="10511" width="6.28515625" style="360" customWidth="1"/>
    <col min="10512" max="10512" width="7.85546875" style="360" customWidth="1"/>
    <col min="10513" max="10514" width="6.28515625" style="360" customWidth="1"/>
    <col min="10515" max="10515" width="8.42578125" style="360" customWidth="1"/>
    <col min="10516" max="10517" width="6.28515625" style="360" customWidth="1"/>
    <col min="10518" max="10518" width="7.28515625" style="360" customWidth="1"/>
    <col min="10519" max="10520" width="6.28515625" style="360" customWidth="1"/>
    <col min="10521" max="10521" width="6.85546875" style="360" customWidth="1"/>
    <col min="10522" max="10522" width="6.7109375" style="360" customWidth="1"/>
    <col min="10523" max="10523" width="9.5703125" style="360" customWidth="1"/>
    <col min="10524" max="10534" width="6.28515625" style="360" customWidth="1"/>
    <col min="10535" max="10752" width="9.140625" style="360"/>
    <col min="10753" max="10753" width="27" style="360" customWidth="1"/>
    <col min="10754" max="10754" width="8.28515625" style="360" customWidth="1"/>
    <col min="10755" max="10756" width="0" style="360" hidden="1" customWidth="1"/>
    <col min="10757" max="10758" width="6.28515625" style="360" customWidth="1"/>
    <col min="10759" max="10759" width="7.140625" style="360" customWidth="1"/>
    <col min="10760" max="10760" width="6.28515625" style="360" customWidth="1"/>
    <col min="10761" max="10761" width="8.42578125" style="360" customWidth="1"/>
    <col min="10762" max="10765" width="7.85546875" style="360" customWidth="1"/>
    <col min="10766" max="10767" width="6.28515625" style="360" customWidth="1"/>
    <col min="10768" max="10768" width="7.85546875" style="360" customWidth="1"/>
    <col min="10769" max="10770" width="6.28515625" style="360" customWidth="1"/>
    <col min="10771" max="10771" width="8.42578125" style="360" customWidth="1"/>
    <col min="10772" max="10773" width="6.28515625" style="360" customWidth="1"/>
    <col min="10774" max="10774" width="7.28515625" style="360" customWidth="1"/>
    <col min="10775" max="10776" width="6.28515625" style="360" customWidth="1"/>
    <col min="10777" max="10777" width="6.85546875" style="360" customWidth="1"/>
    <col min="10778" max="10778" width="6.7109375" style="360" customWidth="1"/>
    <col min="10779" max="10779" width="9.5703125" style="360" customWidth="1"/>
    <col min="10780" max="10790" width="6.28515625" style="360" customWidth="1"/>
    <col min="10791" max="11008" width="9.140625" style="360"/>
    <col min="11009" max="11009" width="27" style="360" customWidth="1"/>
    <col min="11010" max="11010" width="8.28515625" style="360" customWidth="1"/>
    <col min="11011" max="11012" width="0" style="360" hidden="1" customWidth="1"/>
    <col min="11013" max="11014" width="6.28515625" style="360" customWidth="1"/>
    <col min="11015" max="11015" width="7.140625" style="360" customWidth="1"/>
    <col min="11016" max="11016" width="6.28515625" style="360" customWidth="1"/>
    <col min="11017" max="11017" width="8.42578125" style="360" customWidth="1"/>
    <col min="11018" max="11021" width="7.85546875" style="360" customWidth="1"/>
    <col min="11022" max="11023" width="6.28515625" style="360" customWidth="1"/>
    <col min="11024" max="11024" width="7.85546875" style="360" customWidth="1"/>
    <col min="11025" max="11026" width="6.28515625" style="360" customWidth="1"/>
    <col min="11027" max="11027" width="8.42578125" style="360" customWidth="1"/>
    <col min="11028" max="11029" width="6.28515625" style="360" customWidth="1"/>
    <col min="11030" max="11030" width="7.28515625" style="360" customWidth="1"/>
    <col min="11031" max="11032" width="6.28515625" style="360" customWidth="1"/>
    <col min="11033" max="11033" width="6.85546875" style="360" customWidth="1"/>
    <col min="11034" max="11034" width="6.7109375" style="360" customWidth="1"/>
    <col min="11035" max="11035" width="9.5703125" style="360" customWidth="1"/>
    <col min="11036" max="11046" width="6.28515625" style="360" customWidth="1"/>
    <col min="11047" max="11264" width="9.140625" style="360"/>
    <col min="11265" max="11265" width="27" style="360" customWidth="1"/>
    <col min="11266" max="11266" width="8.28515625" style="360" customWidth="1"/>
    <col min="11267" max="11268" width="0" style="360" hidden="1" customWidth="1"/>
    <col min="11269" max="11270" width="6.28515625" style="360" customWidth="1"/>
    <col min="11271" max="11271" width="7.140625" style="360" customWidth="1"/>
    <col min="11272" max="11272" width="6.28515625" style="360" customWidth="1"/>
    <col min="11273" max="11273" width="8.42578125" style="360" customWidth="1"/>
    <col min="11274" max="11277" width="7.85546875" style="360" customWidth="1"/>
    <col min="11278" max="11279" width="6.28515625" style="360" customWidth="1"/>
    <col min="11280" max="11280" width="7.85546875" style="360" customWidth="1"/>
    <col min="11281" max="11282" width="6.28515625" style="360" customWidth="1"/>
    <col min="11283" max="11283" width="8.42578125" style="360" customWidth="1"/>
    <col min="11284" max="11285" width="6.28515625" style="360" customWidth="1"/>
    <col min="11286" max="11286" width="7.28515625" style="360" customWidth="1"/>
    <col min="11287" max="11288" width="6.28515625" style="360" customWidth="1"/>
    <col min="11289" max="11289" width="6.85546875" style="360" customWidth="1"/>
    <col min="11290" max="11290" width="6.7109375" style="360" customWidth="1"/>
    <col min="11291" max="11291" width="9.5703125" style="360" customWidth="1"/>
    <col min="11292" max="11302" width="6.28515625" style="360" customWidth="1"/>
    <col min="11303" max="11520" width="9.140625" style="360"/>
    <col min="11521" max="11521" width="27" style="360" customWidth="1"/>
    <col min="11522" max="11522" width="8.28515625" style="360" customWidth="1"/>
    <col min="11523" max="11524" width="0" style="360" hidden="1" customWidth="1"/>
    <col min="11525" max="11526" width="6.28515625" style="360" customWidth="1"/>
    <col min="11527" max="11527" width="7.140625" style="360" customWidth="1"/>
    <col min="11528" max="11528" width="6.28515625" style="360" customWidth="1"/>
    <col min="11529" max="11529" width="8.42578125" style="360" customWidth="1"/>
    <col min="11530" max="11533" width="7.85546875" style="360" customWidth="1"/>
    <col min="11534" max="11535" width="6.28515625" style="360" customWidth="1"/>
    <col min="11536" max="11536" width="7.85546875" style="360" customWidth="1"/>
    <col min="11537" max="11538" width="6.28515625" style="360" customWidth="1"/>
    <col min="11539" max="11539" width="8.42578125" style="360" customWidth="1"/>
    <col min="11540" max="11541" width="6.28515625" style="360" customWidth="1"/>
    <col min="11542" max="11542" width="7.28515625" style="360" customWidth="1"/>
    <col min="11543" max="11544" width="6.28515625" style="360" customWidth="1"/>
    <col min="11545" max="11545" width="6.85546875" style="360" customWidth="1"/>
    <col min="11546" max="11546" width="6.7109375" style="360" customWidth="1"/>
    <col min="11547" max="11547" width="9.5703125" style="360" customWidth="1"/>
    <col min="11548" max="11558" width="6.28515625" style="360" customWidth="1"/>
    <col min="11559" max="11776" width="9.140625" style="360"/>
    <col min="11777" max="11777" width="27" style="360" customWidth="1"/>
    <col min="11778" max="11778" width="8.28515625" style="360" customWidth="1"/>
    <col min="11779" max="11780" width="0" style="360" hidden="1" customWidth="1"/>
    <col min="11781" max="11782" width="6.28515625" style="360" customWidth="1"/>
    <col min="11783" max="11783" width="7.140625" style="360" customWidth="1"/>
    <col min="11784" max="11784" width="6.28515625" style="360" customWidth="1"/>
    <col min="11785" max="11785" width="8.42578125" style="360" customWidth="1"/>
    <col min="11786" max="11789" width="7.85546875" style="360" customWidth="1"/>
    <col min="11790" max="11791" width="6.28515625" style="360" customWidth="1"/>
    <col min="11792" max="11792" width="7.85546875" style="360" customWidth="1"/>
    <col min="11793" max="11794" width="6.28515625" style="360" customWidth="1"/>
    <col min="11795" max="11795" width="8.42578125" style="360" customWidth="1"/>
    <col min="11796" max="11797" width="6.28515625" style="360" customWidth="1"/>
    <col min="11798" max="11798" width="7.28515625" style="360" customWidth="1"/>
    <col min="11799" max="11800" width="6.28515625" style="360" customWidth="1"/>
    <col min="11801" max="11801" width="6.85546875" style="360" customWidth="1"/>
    <col min="11802" max="11802" width="6.7109375" style="360" customWidth="1"/>
    <col min="11803" max="11803" width="9.5703125" style="360" customWidth="1"/>
    <col min="11804" max="11814" width="6.28515625" style="360" customWidth="1"/>
    <col min="11815" max="12032" width="9.140625" style="360"/>
    <col min="12033" max="12033" width="27" style="360" customWidth="1"/>
    <col min="12034" max="12034" width="8.28515625" style="360" customWidth="1"/>
    <col min="12035" max="12036" width="0" style="360" hidden="1" customWidth="1"/>
    <col min="12037" max="12038" width="6.28515625" style="360" customWidth="1"/>
    <col min="12039" max="12039" width="7.140625" style="360" customWidth="1"/>
    <col min="12040" max="12040" width="6.28515625" style="360" customWidth="1"/>
    <col min="12041" max="12041" width="8.42578125" style="360" customWidth="1"/>
    <col min="12042" max="12045" width="7.85546875" style="360" customWidth="1"/>
    <col min="12046" max="12047" width="6.28515625" style="360" customWidth="1"/>
    <col min="12048" max="12048" width="7.85546875" style="360" customWidth="1"/>
    <col min="12049" max="12050" width="6.28515625" style="360" customWidth="1"/>
    <col min="12051" max="12051" width="8.42578125" style="360" customWidth="1"/>
    <col min="12052" max="12053" width="6.28515625" style="360" customWidth="1"/>
    <col min="12054" max="12054" width="7.28515625" style="360" customWidth="1"/>
    <col min="12055" max="12056" width="6.28515625" style="360" customWidth="1"/>
    <col min="12057" max="12057" width="6.85546875" style="360" customWidth="1"/>
    <col min="12058" max="12058" width="6.7109375" style="360" customWidth="1"/>
    <col min="12059" max="12059" width="9.5703125" style="360" customWidth="1"/>
    <col min="12060" max="12070" width="6.28515625" style="360" customWidth="1"/>
    <col min="12071" max="12288" width="9.140625" style="360"/>
    <col min="12289" max="12289" width="27" style="360" customWidth="1"/>
    <col min="12290" max="12290" width="8.28515625" style="360" customWidth="1"/>
    <col min="12291" max="12292" width="0" style="360" hidden="1" customWidth="1"/>
    <col min="12293" max="12294" width="6.28515625" style="360" customWidth="1"/>
    <col min="12295" max="12295" width="7.140625" style="360" customWidth="1"/>
    <col min="12296" max="12296" width="6.28515625" style="360" customWidth="1"/>
    <col min="12297" max="12297" width="8.42578125" style="360" customWidth="1"/>
    <col min="12298" max="12301" width="7.85546875" style="360" customWidth="1"/>
    <col min="12302" max="12303" width="6.28515625" style="360" customWidth="1"/>
    <col min="12304" max="12304" width="7.85546875" style="360" customWidth="1"/>
    <col min="12305" max="12306" width="6.28515625" style="360" customWidth="1"/>
    <col min="12307" max="12307" width="8.42578125" style="360" customWidth="1"/>
    <col min="12308" max="12309" width="6.28515625" style="360" customWidth="1"/>
    <col min="12310" max="12310" width="7.28515625" style="360" customWidth="1"/>
    <col min="12311" max="12312" width="6.28515625" style="360" customWidth="1"/>
    <col min="12313" max="12313" width="6.85546875" style="360" customWidth="1"/>
    <col min="12314" max="12314" width="6.7109375" style="360" customWidth="1"/>
    <col min="12315" max="12315" width="9.5703125" style="360" customWidth="1"/>
    <col min="12316" max="12326" width="6.28515625" style="360" customWidth="1"/>
    <col min="12327" max="12544" width="9.140625" style="360"/>
    <col min="12545" max="12545" width="27" style="360" customWidth="1"/>
    <col min="12546" max="12546" width="8.28515625" style="360" customWidth="1"/>
    <col min="12547" max="12548" width="0" style="360" hidden="1" customWidth="1"/>
    <col min="12549" max="12550" width="6.28515625" style="360" customWidth="1"/>
    <col min="12551" max="12551" width="7.140625" style="360" customWidth="1"/>
    <col min="12552" max="12552" width="6.28515625" style="360" customWidth="1"/>
    <col min="12553" max="12553" width="8.42578125" style="360" customWidth="1"/>
    <col min="12554" max="12557" width="7.85546875" style="360" customWidth="1"/>
    <col min="12558" max="12559" width="6.28515625" style="360" customWidth="1"/>
    <col min="12560" max="12560" width="7.85546875" style="360" customWidth="1"/>
    <col min="12561" max="12562" width="6.28515625" style="360" customWidth="1"/>
    <col min="12563" max="12563" width="8.42578125" style="360" customWidth="1"/>
    <col min="12564" max="12565" width="6.28515625" style="360" customWidth="1"/>
    <col min="12566" max="12566" width="7.28515625" style="360" customWidth="1"/>
    <col min="12567" max="12568" width="6.28515625" style="360" customWidth="1"/>
    <col min="12569" max="12569" width="6.85546875" style="360" customWidth="1"/>
    <col min="12570" max="12570" width="6.7109375" style="360" customWidth="1"/>
    <col min="12571" max="12571" width="9.5703125" style="360" customWidth="1"/>
    <col min="12572" max="12582" width="6.28515625" style="360" customWidth="1"/>
    <col min="12583" max="12800" width="9.140625" style="360"/>
    <col min="12801" max="12801" width="27" style="360" customWidth="1"/>
    <col min="12802" max="12802" width="8.28515625" style="360" customWidth="1"/>
    <col min="12803" max="12804" width="0" style="360" hidden="1" customWidth="1"/>
    <col min="12805" max="12806" width="6.28515625" style="360" customWidth="1"/>
    <col min="12807" max="12807" width="7.140625" style="360" customWidth="1"/>
    <col min="12808" max="12808" width="6.28515625" style="360" customWidth="1"/>
    <col min="12809" max="12809" width="8.42578125" style="360" customWidth="1"/>
    <col min="12810" max="12813" width="7.85546875" style="360" customWidth="1"/>
    <col min="12814" max="12815" width="6.28515625" style="360" customWidth="1"/>
    <col min="12816" max="12816" width="7.85546875" style="360" customWidth="1"/>
    <col min="12817" max="12818" width="6.28515625" style="360" customWidth="1"/>
    <col min="12819" max="12819" width="8.42578125" style="360" customWidth="1"/>
    <col min="12820" max="12821" width="6.28515625" style="360" customWidth="1"/>
    <col min="12822" max="12822" width="7.28515625" style="360" customWidth="1"/>
    <col min="12823" max="12824" width="6.28515625" style="360" customWidth="1"/>
    <col min="12825" max="12825" width="6.85546875" style="360" customWidth="1"/>
    <col min="12826" max="12826" width="6.7109375" style="360" customWidth="1"/>
    <col min="12827" max="12827" width="9.5703125" style="360" customWidth="1"/>
    <col min="12828" max="12838" width="6.28515625" style="360" customWidth="1"/>
    <col min="12839" max="13056" width="9.140625" style="360"/>
    <col min="13057" max="13057" width="27" style="360" customWidth="1"/>
    <col min="13058" max="13058" width="8.28515625" style="360" customWidth="1"/>
    <col min="13059" max="13060" width="0" style="360" hidden="1" customWidth="1"/>
    <col min="13061" max="13062" width="6.28515625" style="360" customWidth="1"/>
    <col min="13063" max="13063" width="7.140625" style="360" customWidth="1"/>
    <col min="13064" max="13064" width="6.28515625" style="360" customWidth="1"/>
    <col min="13065" max="13065" width="8.42578125" style="360" customWidth="1"/>
    <col min="13066" max="13069" width="7.85546875" style="360" customWidth="1"/>
    <col min="13070" max="13071" width="6.28515625" style="360" customWidth="1"/>
    <col min="13072" max="13072" width="7.85546875" style="360" customWidth="1"/>
    <col min="13073" max="13074" width="6.28515625" style="360" customWidth="1"/>
    <col min="13075" max="13075" width="8.42578125" style="360" customWidth="1"/>
    <col min="13076" max="13077" width="6.28515625" style="360" customWidth="1"/>
    <col min="13078" max="13078" width="7.28515625" style="360" customWidth="1"/>
    <col min="13079" max="13080" width="6.28515625" style="360" customWidth="1"/>
    <col min="13081" max="13081" width="6.85546875" style="360" customWidth="1"/>
    <col min="13082" max="13082" width="6.7109375" style="360" customWidth="1"/>
    <col min="13083" max="13083" width="9.5703125" style="360" customWidth="1"/>
    <col min="13084" max="13094" width="6.28515625" style="360" customWidth="1"/>
    <col min="13095" max="13312" width="9.140625" style="360"/>
    <col min="13313" max="13313" width="27" style="360" customWidth="1"/>
    <col min="13314" max="13314" width="8.28515625" style="360" customWidth="1"/>
    <col min="13315" max="13316" width="0" style="360" hidden="1" customWidth="1"/>
    <col min="13317" max="13318" width="6.28515625" style="360" customWidth="1"/>
    <col min="13319" max="13319" width="7.140625" style="360" customWidth="1"/>
    <col min="13320" max="13320" width="6.28515625" style="360" customWidth="1"/>
    <col min="13321" max="13321" width="8.42578125" style="360" customWidth="1"/>
    <col min="13322" max="13325" width="7.85546875" style="360" customWidth="1"/>
    <col min="13326" max="13327" width="6.28515625" style="360" customWidth="1"/>
    <col min="13328" max="13328" width="7.85546875" style="360" customWidth="1"/>
    <col min="13329" max="13330" width="6.28515625" style="360" customWidth="1"/>
    <col min="13331" max="13331" width="8.42578125" style="360" customWidth="1"/>
    <col min="13332" max="13333" width="6.28515625" style="360" customWidth="1"/>
    <col min="13334" max="13334" width="7.28515625" style="360" customWidth="1"/>
    <col min="13335" max="13336" width="6.28515625" style="360" customWidth="1"/>
    <col min="13337" max="13337" width="6.85546875" style="360" customWidth="1"/>
    <col min="13338" max="13338" width="6.7109375" style="360" customWidth="1"/>
    <col min="13339" max="13339" width="9.5703125" style="360" customWidth="1"/>
    <col min="13340" max="13350" width="6.28515625" style="360" customWidth="1"/>
    <col min="13351" max="13568" width="9.140625" style="360"/>
    <col min="13569" max="13569" width="27" style="360" customWidth="1"/>
    <col min="13570" max="13570" width="8.28515625" style="360" customWidth="1"/>
    <col min="13571" max="13572" width="0" style="360" hidden="1" customWidth="1"/>
    <col min="13573" max="13574" width="6.28515625" style="360" customWidth="1"/>
    <col min="13575" max="13575" width="7.140625" style="360" customWidth="1"/>
    <col min="13576" max="13576" width="6.28515625" style="360" customWidth="1"/>
    <col min="13577" max="13577" width="8.42578125" style="360" customWidth="1"/>
    <col min="13578" max="13581" width="7.85546875" style="360" customWidth="1"/>
    <col min="13582" max="13583" width="6.28515625" style="360" customWidth="1"/>
    <col min="13584" max="13584" width="7.85546875" style="360" customWidth="1"/>
    <col min="13585" max="13586" width="6.28515625" style="360" customWidth="1"/>
    <col min="13587" max="13587" width="8.42578125" style="360" customWidth="1"/>
    <col min="13588" max="13589" width="6.28515625" style="360" customWidth="1"/>
    <col min="13590" max="13590" width="7.28515625" style="360" customWidth="1"/>
    <col min="13591" max="13592" width="6.28515625" style="360" customWidth="1"/>
    <col min="13593" max="13593" width="6.85546875" style="360" customWidth="1"/>
    <col min="13594" max="13594" width="6.7109375" style="360" customWidth="1"/>
    <col min="13595" max="13595" width="9.5703125" style="360" customWidth="1"/>
    <col min="13596" max="13606" width="6.28515625" style="360" customWidth="1"/>
    <col min="13607" max="13824" width="9.140625" style="360"/>
    <col min="13825" max="13825" width="27" style="360" customWidth="1"/>
    <col min="13826" max="13826" width="8.28515625" style="360" customWidth="1"/>
    <col min="13827" max="13828" width="0" style="360" hidden="1" customWidth="1"/>
    <col min="13829" max="13830" width="6.28515625" style="360" customWidth="1"/>
    <col min="13831" max="13831" width="7.140625" style="360" customWidth="1"/>
    <col min="13832" max="13832" width="6.28515625" style="360" customWidth="1"/>
    <col min="13833" max="13833" width="8.42578125" style="360" customWidth="1"/>
    <col min="13834" max="13837" width="7.85546875" style="360" customWidth="1"/>
    <col min="13838" max="13839" width="6.28515625" style="360" customWidth="1"/>
    <col min="13840" max="13840" width="7.85546875" style="360" customWidth="1"/>
    <col min="13841" max="13842" width="6.28515625" style="360" customWidth="1"/>
    <col min="13843" max="13843" width="8.42578125" style="360" customWidth="1"/>
    <col min="13844" max="13845" width="6.28515625" style="360" customWidth="1"/>
    <col min="13846" max="13846" width="7.28515625" style="360" customWidth="1"/>
    <col min="13847" max="13848" width="6.28515625" style="360" customWidth="1"/>
    <col min="13849" max="13849" width="6.85546875" style="360" customWidth="1"/>
    <col min="13850" max="13850" width="6.7109375" style="360" customWidth="1"/>
    <col min="13851" max="13851" width="9.5703125" style="360" customWidth="1"/>
    <col min="13852" max="13862" width="6.28515625" style="360" customWidth="1"/>
    <col min="13863" max="14080" width="9.140625" style="360"/>
    <col min="14081" max="14081" width="27" style="360" customWidth="1"/>
    <col min="14082" max="14082" width="8.28515625" style="360" customWidth="1"/>
    <col min="14083" max="14084" width="0" style="360" hidden="1" customWidth="1"/>
    <col min="14085" max="14086" width="6.28515625" style="360" customWidth="1"/>
    <col min="14087" max="14087" width="7.140625" style="360" customWidth="1"/>
    <col min="14088" max="14088" width="6.28515625" style="360" customWidth="1"/>
    <col min="14089" max="14089" width="8.42578125" style="360" customWidth="1"/>
    <col min="14090" max="14093" width="7.85546875" style="360" customWidth="1"/>
    <col min="14094" max="14095" width="6.28515625" style="360" customWidth="1"/>
    <col min="14096" max="14096" width="7.85546875" style="360" customWidth="1"/>
    <col min="14097" max="14098" width="6.28515625" style="360" customWidth="1"/>
    <col min="14099" max="14099" width="8.42578125" style="360" customWidth="1"/>
    <col min="14100" max="14101" width="6.28515625" style="360" customWidth="1"/>
    <col min="14102" max="14102" width="7.28515625" style="360" customWidth="1"/>
    <col min="14103" max="14104" width="6.28515625" style="360" customWidth="1"/>
    <col min="14105" max="14105" width="6.85546875" style="360" customWidth="1"/>
    <col min="14106" max="14106" width="6.7109375" style="360" customWidth="1"/>
    <col min="14107" max="14107" width="9.5703125" style="360" customWidth="1"/>
    <col min="14108" max="14118" width="6.28515625" style="360" customWidth="1"/>
    <col min="14119" max="14336" width="9.140625" style="360"/>
    <col min="14337" max="14337" width="27" style="360" customWidth="1"/>
    <col min="14338" max="14338" width="8.28515625" style="360" customWidth="1"/>
    <col min="14339" max="14340" width="0" style="360" hidden="1" customWidth="1"/>
    <col min="14341" max="14342" width="6.28515625" style="360" customWidth="1"/>
    <col min="14343" max="14343" width="7.140625" style="360" customWidth="1"/>
    <col min="14344" max="14344" width="6.28515625" style="360" customWidth="1"/>
    <col min="14345" max="14345" width="8.42578125" style="360" customWidth="1"/>
    <col min="14346" max="14349" width="7.85546875" style="360" customWidth="1"/>
    <col min="14350" max="14351" width="6.28515625" style="360" customWidth="1"/>
    <col min="14352" max="14352" width="7.85546875" style="360" customWidth="1"/>
    <col min="14353" max="14354" width="6.28515625" style="360" customWidth="1"/>
    <col min="14355" max="14355" width="8.42578125" style="360" customWidth="1"/>
    <col min="14356" max="14357" width="6.28515625" style="360" customWidth="1"/>
    <col min="14358" max="14358" width="7.28515625" style="360" customWidth="1"/>
    <col min="14359" max="14360" width="6.28515625" style="360" customWidth="1"/>
    <col min="14361" max="14361" width="6.85546875" style="360" customWidth="1"/>
    <col min="14362" max="14362" width="6.7109375" style="360" customWidth="1"/>
    <col min="14363" max="14363" width="9.5703125" style="360" customWidth="1"/>
    <col min="14364" max="14374" width="6.28515625" style="360" customWidth="1"/>
    <col min="14375" max="14592" width="9.140625" style="360"/>
    <col min="14593" max="14593" width="27" style="360" customWidth="1"/>
    <col min="14594" max="14594" width="8.28515625" style="360" customWidth="1"/>
    <col min="14595" max="14596" width="0" style="360" hidden="1" customWidth="1"/>
    <col min="14597" max="14598" width="6.28515625" style="360" customWidth="1"/>
    <col min="14599" max="14599" width="7.140625" style="360" customWidth="1"/>
    <col min="14600" max="14600" width="6.28515625" style="360" customWidth="1"/>
    <col min="14601" max="14601" width="8.42578125" style="360" customWidth="1"/>
    <col min="14602" max="14605" width="7.85546875" style="360" customWidth="1"/>
    <col min="14606" max="14607" width="6.28515625" style="360" customWidth="1"/>
    <col min="14608" max="14608" width="7.85546875" style="360" customWidth="1"/>
    <col min="14609" max="14610" width="6.28515625" style="360" customWidth="1"/>
    <col min="14611" max="14611" width="8.42578125" style="360" customWidth="1"/>
    <col min="14612" max="14613" width="6.28515625" style="360" customWidth="1"/>
    <col min="14614" max="14614" width="7.28515625" style="360" customWidth="1"/>
    <col min="14615" max="14616" width="6.28515625" style="360" customWidth="1"/>
    <col min="14617" max="14617" width="6.85546875" style="360" customWidth="1"/>
    <col min="14618" max="14618" width="6.7109375" style="360" customWidth="1"/>
    <col min="14619" max="14619" width="9.5703125" style="360" customWidth="1"/>
    <col min="14620" max="14630" width="6.28515625" style="360" customWidth="1"/>
    <col min="14631" max="14848" width="9.140625" style="360"/>
    <col min="14849" max="14849" width="27" style="360" customWidth="1"/>
    <col min="14850" max="14850" width="8.28515625" style="360" customWidth="1"/>
    <col min="14851" max="14852" width="0" style="360" hidden="1" customWidth="1"/>
    <col min="14853" max="14854" width="6.28515625" style="360" customWidth="1"/>
    <col min="14855" max="14855" width="7.140625" style="360" customWidth="1"/>
    <col min="14856" max="14856" width="6.28515625" style="360" customWidth="1"/>
    <col min="14857" max="14857" width="8.42578125" style="360" customWidth="1"/>
    <col min="14858" max="14861" width="7.85546875" style="360" customWidth="1"/>
    <col min="14862" max="14863" width="6.28515625" style="360" customWidth="1"/>
    <col min="14864" max="14864" width="7.85546875" style="360" customWidth="1"/>
    <col min="14865" max="14866" width="6.28515625" style="360" customWidth="1"/>
    <col min="14867" max="14867" width="8.42578125" style="360" customWidth="1"/>
    <col min="14868" max="14869" width="6.28515625" style="360" customWidth="1"/>
    <col min="14870" max="14870" width="7.28515625" style="360" customWidth="1"/>
    <col min="14871" max="14872" width="6.28515625" style="360" customWidth="1"/>
    <col min="14873" max="14873" width="6.85546875" style="360" customWidth="1"/>
    <col min="14874" max="14874" width="6.7109375" style="360" customWidth="1"/>
    <col min="14875" max="14875" width="9.5703125" style="360" customWidth="1"/>
    <col min="14876" max="14886" width="6.28515625" style="360" customWidth="1"/>
    <col min="14887" max="15104" width="9.140625" style="360"/>
    <col min="15105" max="15105" width="27" style="360" customWidth="1"/>
    <col min="15106" max="15106" width="8.28515625" style="360" customWidth="1"/>
    <col min="15107" max="15108" width="0" style="360" hidden="1" customWidth="1"/>
    <col min="15109" max="15110" width="6.28515625" style="360" customWidth="1"/>
    <col min="15111" max="15111" width="7.140625" style="360" customWidth="1"/>
    <col min="15112" max="15112" width="6.28515625" style="360" customWidth="1"/>
    <col min="15113" max="15113" width="8.42578125" style="360" customWidth="1"/>
    <col min="15114" max="15117" width="7.85546875" style="360" customWidth="1"/>
    <col min="15118" max="15119" width="6.28515625" style="360" customWidth="1"/>
    <col min="15120" max="15120" width="7.85546875" style="360" customWidth="1"/>
    <col min="15121" max="15122" width="6.28515625" style="360" customWidth="1"/>
    <col min="15123" max="15123" width="8.42578125" style="360" customWidth="1"/>
    <col min="15124" max="15125" width="6.28515625" style="360" customWidth="1"/>
    <col min="15126" max="15126" width="7.28515625" style="360" customWidth="1"/>
    <col min="15127" max="15128" width="6.28515625" style="360" customWidth="1"/>
    <col min="15129" max="15129" width="6.85546875" style="360" customWidth="1"/>
    <col min="15130" max="15130" width="6.7109375" style="360" customWidth="1"/>
    <col min="15131" max="15131" width="9.5703125" style="360" customWidth="1"/>
    <col min="15132" max="15142" width="6.28515625" style="360" customWidth="1"/>
    <col min="15143" max="15360" width="9.140625" style="360"/>
    <col min="15361" max="15361" width="27" style="360" customWidth="1"/>
    <col min="15362" max="15362" width="8.28515625" style="360" customWidth="1"/>
    <col min="15363" max="15364" width="0" style="360" hidden="1" customWidth="1"/>
    <col min="15365" max="15366" width="6.28515625" style="360" customWidth="1"/>
    <col min="15367" max="15367" width="7.140625" style="360" customWidth="1"/>
    <col min="15368" max="15368" width="6.28515625" style="360" customWidth="1"/>
    <col min="15369" max="15369" width="8.42578125" style="360" customWidth="1"/>
    <col min="15370" max="15373" width="7.85546875" style="360" customWidth="1"/>
    <col min="15374" max="15375" width="6.28515625" style="360" customWidth="1"/>
    <col min="15376" max="15376" width="7.85546875" style="360" customWidth="1"/>
    <col min="15377" max="15378" width="6.28515625" style="360" customWidth="1"/>
    <col min="15379" max="15379" width="8.42578125" style="360" customWidth="1"/>
    <col min="15380" max="15381" width="6.28515625" style="360" customWidth="1"/>
    <col min="15382" max="15382" width="7.28515625" style="360" customWidth="1"/>
    <col min="15383" max="15384" width="6.28515625" style="360" customWidth="1"/>
    <col min="15385" max="15385" width="6.85546875" style="360" customWidth="1"/>
    <col min="15386" max="15386" width="6.7109375" style="360" customWidth="1"/>
    <col min="15387" max="15387" width="9.5703125" style="360" customWidth="1"/>
    <col min="15388" max="15398" width="6.28515625" style="360" customWidth="1"/>
    <col min="15399" max="15616" width="9.140625" style="360"/>
    <col min="15617" max="15617" width="27" style="360" customWidth="1"/>
    <col min="15618" max="15618" width="8.28515625" style="360" customWidth="1"/>
    <col min="15619" max="15620" width="0" style="360" hidden="1" customWidth="1"/>
    <col min="15621" max="15622" width="6.28515625" style="360" customWidth="1"/>
    <col min="15623" max="15623" width="7.140625" style="360" customWidth="1"/>
    <col min="15624" max="15624" width="6.28515625" style="360" customWidth="1"/>
    <col min="15625" max="15625" width="8.42578125" style="360" customWidth="1"/>
    <col min="15626" max="15629" width="7.85546875" style="360" customWidth="1"/>
    <col min="15630" max="15631" width="6.28515625" style="360" customWidth="1"/>
    <col min="15632" max="15632" width="7.85546875" style="360" customWidth="1"/>
    <col min="15633" max="15634" width="6.28515625" style="360" customWidth="1"/>
    <col min="15635" max="15635" width="8.42578125" style="360" customWidth="1"/>
    <col min="15636" max="15637" width="6.28515625" style="360" customWidth="1"/>
    <col min="15638" max="15638" width="7.28515625" style="360" customWidth="1"/>
    <col min="15639" max="15640" width="6.28515625" style="360" customWidth="1"/>
    <col min="15641" max="15641" width="6.85546875" style="360" customWidth="1"/>
    <col min="15642" max="15642" width="6.7109375" style="360" customWidth="1"/>
    <col min="15643" max="15643" width="9.5703125" style="360" customWidth="1"/>
    <col min="15644" max="15654" width="6.28515625" style="360" customWidth="1"/>
    <col min="15655" max="15872" width="9.140625" style="360"/>
    <col min="15873" max="15873" width="27" style="360" customWidth="1"/>
    <col min="15874" max="15874" width="8.28515625" style="360" customWidth="1"/>
    <col min="15875" max="15876" width="0" style="360" hidden="1" customWidth="1"/>
    <col min="15877" max="15878" width="6.28515625" style="360" customWidth="1"/>
    <col min="15879" max="15879" width="7.140625" style="360" customWidth="1"/>
    <col min="15880" max="15880" width="6.28515625" style="360" customWidth="1"/>
    <col min="15881" max="15881" width="8.42578125" style="360" customWidth="1"/>
    <col min="15882" max="15885" width="7.85546875" style="360" customWidth="1"/>
    <col min="15886" max="15887" width="6.28515625" style="360" customWidth="1"/>
    <col min="15888" max="15888" width="7.85546875" style="360" customWidth="1"/>
    <col min="15889" max="15890" width="6.28515625" style="360" customWidth="1"/>
    <col min="15891" max="15891" width="8.42578125" style="360" customWidth="1"/>
    <col min="15892" max="15893" width="6.28515625" style="360" customWidth="1"/>
    <col min="15894" max="15894" width="7.28515625" style="360" customWidth="1"/>
    <col min="15895" max="15896" width="6.28515625" style="360" customWidth="1"/>
    <col min="15897" max="15897" width="6.85546875" style="360" customWidth="1"/>
    <col min="15898" max="15898" width="6.7109375" style="360" customWidth="1"/>
    <col min="15899" max="15899" width="9.5703125" style="360" customWidth="1"/>
    <col min="15900" max="15910" width="6.28515625" style="360" customWidth="1"/>
    <col min="15911" max="16128" width="9.140625" style="360"/>
    <col min="16129" max="16129" width="27" style="360" customWidth="1"/>
    <col min="16130" max="16130" width="8.28515625" style="360" customWidth="1"/>
    <col min="16131" max="16132" width="0" style="360" hidden="1" customWidth="1"/>
    <col min="16133" max="16134" width="6.28515625" style="360" customWidth="1"/>
    <col min="16135" max="16135" width="7.140625" style="360" customWidth="1"/>
    <col min="16136" max="16136" width="6.28515625" style="360" customWidth="1"/>
    <col min="16137" max="16137" width="8.42578125" style="360" customWidth="1"/>
    <col min="16138" max="16141" width="7.85546875" style="360" customWidth="1"/>
    <col min="16142" max="16143" width="6.28515625" style="360" customWidth="1"/>
    <col min="16144" max="16144" width="7.85546875" style="360" customWidth="1"/>
    <col min="16145" max="16146" width="6.28515625" style="360" customWidth="1"/>
    <col min="16147" max="16147" width="8.42578125" style="360" customWidth="1"/>
    <col min="16148" max="16149" width="6.28515625" style="360" customWidth="1"/>
    <col min="16150" max="16150" width="7.28515625" style="360" customWidth="1"/>
    <col min="16151" max="16152" width="6.28515625" style="360" customWidth="1"/>
    <col min="16153" max="16153" width="6.85546875" style="360" customWidth="1"/>
    <col min="16154" max="16154" width="6.7109375" style="360" customWidth="1"/>
    <col min="16155" max="16155" width="9.5703125" style="360" customWidth="1"/>
    <col min="16156" max="16166" width="6.28515625" style="360" customWidth="1"/>
    <col min="16167" max="16384" width="9.140625" style="360"/>
  </cols>
  <sheetData>
    <row r="1" spans="1:34" s="353" customFormat="1" ht="12.75">
      <c r="A1" s="549" t="s">
        <v>336</v>
      </c>
      <c r="B1" s="354"/>
      <c r="G1" s="355"/>
      <c r="R1" s="2097"/>
      <c r="S1" s="2097"/>
      <c r="U1" s="2097"/>
      <c r="V1" s="2097"/>
      <c r="X1" s="356"/>
      <c r="Y1" s="356"/>
      <c r="Z1" s="356"/>
      <c r="AA1" s="550"/>
    </row>
    <row r="2" spans="1:34" ht="12" thickBot="1">
      <c r="A2" s="449">
        <v>2019</v>
      </c>
      <c r="B2" s="358"/>
      <c r="C2" s="357"/>
      <c r="D2" s="357"/>
      <c r="E2" s="357" t="s">
        <v>469</v>
      </c>
      <c r="F2" s="357"/>
      <c r="G2" s="359"/>
      <c r="H2" s="357"/>
      <c r="I2" s="357"/>
      <c r="J2" s="357"/>
      <c r="K2" s="357"/>
      <c r="L2" s="357"/>
      <c r="M2" s="357"/>
      <c r="N2" s="357"/>
      <c r="O2" s="357"/>
      <c r="P2" s="357"/>
      <c r="Q2" s="357"/>
      <c r="R2" s="357"/>
      <c r="S2" s="357"/>
      <c r="T2" s="357"/>
      <c r="U2" s="357"/>
      <c r="V2" s="357"/>
      <c r="W2" s="357"/>
      <c r="X2" s="357"/>
      <c r="Y2" s="357"/>
      <c r="Z2" s="357"/>
      <c r="AA2" s="1294" t="s">
        <v>545</v>
      </c>
    </row>
    <row r="3" spans="1:34" ht="12" customHeight="1" thickTop="1" thickBot="1">
      <c r="A3" s="2081" t="s">
        <v>224</v>
      </c>
      <c r="B3" s="2083" t="s">
        <v>308</v>
      </c>
      <c r="C3" s="2098" t="s">
        <v>309</v>
      </c>
      <c r="D3" s="2099"/>
      <c r="E3" s="2101" t="s">
        <v>310</v>
      </c>
      <c r="F3" s="2089"/>
      <c r="G3" s="2089"/>
      <c r="H3" s="2089"/>
      <c r="I3" s="2089"/>
      <c r="J3" s="2089"/>
      <c r="K3" s="2089"/>
      <c r="L3" s="2089"/>
      <c r="M3" s="2089"/>
      <c r="N3" s="2089"/>
      <c r="O3" s="2089"/>
      <c r="P3" s="2089"/>
      <c r="Q3" s="2089"/>
      <c r="R3" s="2089"/>
      <c r="S3" s="2089"/>
      <c r="T3" s="2089"/>
      <c r="U3" s="2089"/>
      <c r="V3" s="2089"/>
      <c r="W3" s="2089"/>
      <c r="X3" s="2089"/>
      <c r="Y3" s="2102"/>
      <c r="Z3" s="2103" t="s">
        <v>311</v>
      </c>
      <c r="AA3" s="2105" t="s">
        <v>312</v>
      </c>
    </row>
    <row r="4" spans="1:34">
      <c r="A4" s="2082"/>
      <c r="B4" s="2084"/>
      <c r="C4" s="2100"/>
      <c r="D4" s="2088"/>
      <c r="E4" s="2077" t="s">
        <v>313</v>
      </c>
      <c r="F4" s="2078"/>
      <c r="G4" s="2079"/>
      <c r="H4" s="2077" t="s">
        <v>210</v>
      </c>
      <c r="I4" s="2078"/>
      <c r="J4" s="2079"/>
      <c r="K4" s="2093" t="s">
        <v>338</v>
      </c>
      <c r="L4" s="2094"/>
      <c r="M4" s="2095"/>
      <c r="N4" s="2077" t="s">
        <v>337</v>
      </c>
      <c r="O4" s="2078"/>
      <c r="P4" s="2079"/>
      <c r="Q4" s="2077" t="s">
        <v>278</v>
      </c>
      <c r="R4" s="2078"/>
      <c r="S4" s="2079"/>
      <c r="T4" s="2077" t="s">
        <v>330</v>
      </c>
      <c r="U4" s="2078"/>
      <c r="V4" s="2079"/>
      <c r="W4" s="2077" t="s">
        <v>468</v>
      </c>
      <c r="X4" s="2078"/>
      <c r="Y4" s="2079"/>
      <c r="Z4" s="2104"/>
      <c r="AA4" s="2106"/>
    </row>
    <row r="5" spans="1:34" ht="38.25" customHeight="1">
      <c r="A5" s="2082"/>
      <c r="B5" s="2084"/>
      <c r="C5" s="907" t="s">
        <v>314</v>
      </c>
      <c r="D5" s="908" t="s">
        <v>315</v>
      </c>
      <c r="E5" s="361" t="s">
        <v>316</v>
      </c>
      <c r="F5" s="362" t="s">
        <v>315</v>
      </c>
      <c r="G5" s="363" t="s">
        <v>317</v>
      </c>
      <c r="H5" s="361" t="s">
        <v>318</v>
      </c>
      <c r="I5" s="362" t="s">
        <v>315</v>
      </c>
      <c r="J5" s="363" t="s">
        <v>317</v>
      </c>
      <c r="K5" s="361" t="s">
        <v>316</v>
      </c>
      <c r="L5" s="362" t="s">
        <v>315</v>
      </c>
      <c r="M5" s="363" t="s">
        <v>317</v>
      </c>
      <c r="N5" s="361" t="s">
        <v>316</v>
      </c>
      <c r="O5" s="362" t="s">
        <v>315</v>
      </c>
      <c r="P5" s="363" t="s">
        <v>317</v>
      </c>
      <c r="Q5" s="361" t="s">
        <v>314</v>
      </c>
      <c r="R5" s="362" t="s">
        <v>315</v>
      </c>
      <c r="S5" s="363" t="s">
        <v>317</v>
      </c>
      <c r="T5" s="361" t="s">
        <v>316</v>
      </c>
      <c r="U5" s="362" t="s">
        <v>315</v>
      </c>
      <c r="V5" s="363" t="s">
        <v>317</v>
      </c>
      <c r="W5" s="361" t="s">
        <v>316</v>
      </c>
      <c r="X5" s="362" t="s">
        <v>315</v>
      </c>
      <c r="Y5" s="364" t="s">
        <v>317</v>
      </c>
      <c r="Z5" s="2104"/>
      <c r="AA5" s="2106"/>
    </row>
    <row r="6" spans="1:34" ht="12" thickBot="1">
      <c r="A6" s="553" t="s">
        <v>305</v>
      </c>
      <c r="B6" s="365">
        <v>1</v>
      </c>
      <c r="C6" s="366">
        <v>2</v>
      </c>
      <c r="D6" s="367">
        <v>3</v>
      </c>
      <c r="E6" s="368">
        <v>2</v>
      </c>
      <c r="F6" s="369">
        <v>3</v>
      </c>
      <c r="G6" s="370">
        <v>4</v>
      </c>
      <c r="H6" s="368">
        <v>5</v>
      </c>
      <c r="I6" s="369">
        <v>6</v>
      </c>
      <c r="J6" s="370">
        <v>7</v>
      </c>
      <c r="K6" s="371">
        <v>8</v>
      </c>
      <c r="L6" s="372">
        <v>9</v>
      </c>
      <c r="M6" s="370">
        <v>10</v>
      </c>
      <c r="N6" s="368">
        <v>11</v>
      </c>
      <c r="O6" s="369">
        <v>12</v>
      </c>
      <c r="P6" s="370">
        <v>13</v>
      </c>
      <c r="Q6" s="368">
        <v>14</v>
      </c>
      <c r="R6" s="369">
        <v>15</v>
      </c>
      <c r="S6" s="370">
        <v>16</v>
      </c>
      <c r="T6" s="368">
        <v>17</v>
      </c>
      <c r="U6" s="369">
        <v>18</v>
      </c>
      <c r="V6" s="370">
        <v>19</v>
      </c>
      <c r="W6" s="368">
        <v>20</v>
      </c>
      <c r="X6" s="369">
        <v>21</v>
      </c>
      <c r="Y6" s="373">
        <v>22</v>
      </c>
      <c r="Z6" s="368">
        <v>23</v>
      </c>
      <c r="AA6" s="554">
        <v>24</v>
      </c>
    </row>
    <row r="7" spans="1:34">
      <c r="A7" s="555"/>
      <c r="B7" s="374"/>
      <c r="C7" s="375"/>
      <c r="D7" s="376"/>
      <c r="E7" s="377"/>
      <c r="F7" s="378"/>
      <c r="G7" s="379"/>
      <c r="H7" s="377"/>
      <c r="I7" s="378"/>
      <c r="J7" s="379"/>
      <c r="K7" s="380"/>
      <c r="L7" s="381"/>
      <c r="M7" s="379"/>
      <c r="N7" s="377"/>
      <c r="O7" s="378"/>
      <c r="P7" s="379"/>
      <c r="Q7" s="377"/>
      <c r="R7" s="378"/>
      <c r="S7" s="379"/>
      <c r="T7" s="377"/>
      <c r="U7" s="378"/>
      <c r="V7" s="379"/>
      <c r="W7" s="377"/>
      <c r="X7" s="378"/>
      <c r="Y7" s="382"/>
      <c r="Z7" s="377"/>
      <c r="AA7" s="556"/>
    </row>
    <row r="8" spans="1:34">
      <c r="A8" s="557" t="s">
        <v>306</v>
      </c>
      <c r="B8" s="383" t="e">
        <f>B9+B12</f>
        <v>#REF!</v>
      </c>
      <c r="C8" s="384"/>
      <c r="D8" s="385"/>
      <c r="E8" s="386">
        <f t="shared" ref="E8:X8" si="0">E9+E12</f>
        <v>0</v>
      </c>
      <c r="F8" s="387" t="e">
        <f t="shared" si="0"/>
        <v>#REF!</v>
      </c>
      <c r="G8" s="388" t="e">
        <f t="shared" si="0"/>
        <v>#REF!</v>
      </c>
      <c r="H8" s="386">
        <f t="shared" si="0"/>
        <v>13.5</v>
      </c>
      <c r="I8" s="387" t="e">
        <f t="shared" si="0"/>
        <v>#REF!</v>
      </c>
      <c r="J8" s="388" t="e">
        <f t="shared" si="0"/>
        <v>#DIV/0!</v>
      </c>
      <c r="K8" s="386">
        <f t="shared" si="0"/>
        <v>2.61</v>
      </c>
      <c r="L8" s="387" t="e">
        <f t="shared" si="0"/>
        <v>#REF!</v>
      </c>
      <c r="M8" s="388" t="e">
        <f t="shared" si="0"/>
        <v>#REF!</v>
      </c>
      <c r="N8" s="386">
        <f t="shared" si="0"/>
        <v>0.36</v>
      </c>
      <c r="O8" s="387" t="e">
        <f t="shared" si="0"/>
        <v>#REF!</v>
      </c>
      <c r="P8" s="389" t="e">
        <f t="shared" si="0"/>
        <v>#REF!</v>
      </c>
      <c r="Q8" s="386">
        <f t="shared" si="0"/>
        <v>1.1000000000000003E-3</v>
      </c>
      <c r="R8" s="387" t="e">
        <f t="shared" si="0"/>
        <v>#REF!</v>
      </c>
      <c r="S8" s="389">
        <f t="shared" si="0"/>
        <v>0</v>
      </c>
      <c r="T8" s="386">
        <f t="shared" si="0"/>
        <v>0.3</v>
      </c>
      <c r="U8" s="387" t="e">
        <f t="shared" si="0"/>
        <v>#REF!</v>
      </c>
      <c r="V8" s="388" t="e">
        <f t="shared" si="0"/>
        <v>#REF!</v>
      </c>
      <c r="W8" s="390">
        <f t="shared" si="0"/>
        <v>0</v>
      </c>
      <c r="X8" s="391" t="e">
        <f t="shared" si="0"/>
        <v>#REF!</v>
      </c>
      <c r="Y8" s="392" t="e">
        <f>Y9+Y12</f>
        <v>#REF!</v>
      </c>
      <c r="Z8" s="386">
        <f>Z9+Z12</f>
        <v>0</v>
      </c>
      <c r="AA8" s="558" t="e">
        <f>AA9+AA12</f>
        <v>#REF!</v>
      </c>
    </row>
    <row r="9" spans="1:34" ht="21">
      <c r="A9" s="559" t="s">
        <v>319</v>
      </c>
      <c r="B9" s="393" t="e">
        <f>SUM(B10:B11)</f>
        <v>#REF!</v>
      </c>
      <c r="C9" s="394">
        <f t="shared" ref="C9:Z9" si="1">SUM(C10:C11)</f>
        <v>2.7199999999999998</v>
      </c>
      <c r="D9" s="395" t="e">
        <f t="shared" si="1"/>
        <v>#REF!</v>
      </c>
      <c r="E9" s="396">
        <f t="shared" si="1"/>
        <v>0</v>
      </c>
      <c r="F9" s="397" t="e">
        <f t="shared" si="1"/>
        <v>#REF!</v>
      </c>
      <c r="G9" s="398" t="e">
        <f t="shared" si="1"/>
        <v>#REF!</v>
      </c>
      <c r="H9" s="396">
        <f>SUM(H10:H11)</f>
        <v>2</v>
      </c>
      <c r="I9" s="397" t="e">
        <f t="shared" si="1"/>
        <v>#REF!</v>
      </c>
      <c r="J9" s="398" t="e">
        <f t="shared" si="1"/>
        <v>#DIV/0!</v>
      </c>
      <c r="K9" s="396">
        <f t="shared" si="1"/>
        <v>0.36</v>
      </c>
      <c r="L9" s="397" t="e">
        <f t="shared" si="1"/>
        <v>#REF!</v>
      </c>
      <c r="M9" s="398" t="e">
        <f t="shared" si="1"/>
        <v>#REF!</v>
      </c>
      <c r="N9" s="396">
        <f t="shared" si="1"/>
        <v>0.36</v>
      </c>
      <c r="O9" s="397" t="e">
        <f t="shared" si="1"/>
        <v>#REF!</v>
      </c>
      <c r="P9" s="398" t="e">
        <f t="shared" si="1"/>
        <v>#REF!</v>
      </c>
      <c r="Q9" s="396">
        <f t="shared" si="1"/>
        <v>2.0000000000000001E-4</v>
      </c>
      <c r="R9" s="397" t="e">
        <f t="shared" si="1"/>
        <v>#REF!</v>
      </c>
      <c r="S9" s="399">
        <f t="shared" si="1"/>
        <v>0</v>
      </c>
      <c r="T9" s="396">
        <f t="shared" si="1"/>
        <v>0</v>
      </c>
      <c r="U9" s="397" t="e">
        <f t="shared" si="1"/>
        <v>#REF!</v>
      </c>
      <c r="V9" s="398" t="e">
        <f t="shared" si="1"/>
        <v>#REF!</v>
      </c>
      <c r="W9" s="396">
        <f t="shared" si="1"/>
        <v>0</v>
      </c>
      <c r="X9" s="400" t="e">
        <f t="shared" si="1"/>
        <v>#REF!</v>
      </c>
      <c r="Y9" s="401" t="e">
        <f t="shared" si="1"/>
        <v>#REF!</v>
      </c>
      <c r="Z9" s="396">
        <f t="shared" si="1"/>
        <v>0</v>
      </c>
      <c r="AA9" s="560" t="e">
        <f>SUM(AA10:AA11)</f>
        <v>#REF!</v>
      </c>
      <c r="AD9" s="2074" t="s">
        <v>77</v>
      </c>
      <c r="AE9" s="2074"/>
      <c r="AF9" s="2074"/>
      <c r="AG9" s="2074"/>
      <c r="AH9" s="2074"/>
    </row>
    <row r="10" spans="1:34">
      <c r="A10" s="561" t="s">
        <v>244</v>
      </c>
      <c r="B10" s="403" t="e">
        <f>'3-10.ДПЖ'!AA9</f>
        <v>#REF!</v>
      </c>
      <c r="C10" s="1354">
        <f>+E10+H10+K10+N10+T10</f>
        <v>0</v>
      </c>
      <c r="D10" s="1355" t="e">
        <f>+F10+I10+L10+O10+U10</f>
        <v>#REF!</v>
      </c>
      <c r="E10" s="404"/>
      <c r="F10" s="430" t="e">
        <f>E10*B10</f>
        <v>#REF!</v>
      </c>
      <c r="G10" s="406" t="e">
        <f>F10*20</f>
        <v>#REF!</v>
      </c>
      <c r="H10" s="404"/>
      <c r="I10" s="405"/>
      <c r="J10" s="406" t="e">
        <f>+I10*Затраты!X5</f>
        <v>#DIV/0!</v>
      </c>
      <c r="K10" s="407"/>
      <c r="L10" s="430" t="e">
        <f>B10*K10</f>
        <v>#REF!</v>
      </c>
      <c r="M10" s="406" t="e">
        <f>+L10*Затраты!X6</f>
        <v>#REF!</v>
      </c>
      <c r="N10" s="408"/>
      <c r="O10" s="430" t="e">
        <f>B10*N10</f>
        <v>#REF!</v>
      </c>
      <c r="P10" s="406" t="e">
        <f>O10*Затраты!X7</f>
        <v>#REF!</v>
      </c>
      <c r="Q10" s="408">
        <v>1E-4</v>
      </c>
      <c r="R10" s="405" t="e">
        <f>B10*Q10</f>
        <v>#REF!</v>
      </c>
      <c r="S10" s="406"/>
      <c r="T10" s="407"/>
      <c r="U10" s="405" t="e">
        <f>B10*T10</f>
        <v>#REF!</v>
      </c>
      <c r="V10" s="406" t="e">
        <f>U10*20</f>
        <v>#REF!</v>
      </c>
      <c r="W10" s="407"/>
      <c r="X10" s="405" t="e">
        <f>B10*W10</f>
        <v>#REF!</v>
      </c>
      <c r="Y10" s="409" t="e">
        <f>X10*15</f>
        <v>#REF!</v>
      </c>
      <c r="Z10" s="410"/>
      <c r="AA10" s="562" t="e">
        <f>G10+J10+P10+S10+V10+Y10+Z10+M10</f>
        <v>#REF!</v>
      </c>
    </row>
    <row r="11" spans="1:34">
      <c r="A11" s="561" t="s">
        <v>260</v>
      </c>
      <c r="B11" s="403" t="e">
        <f>'3-10.ДПЖ'!AA10</f>
        <v>#REF!</v>
      </c>
      <c r="C11" s="1354">
        <f>+E11+H11+K11+N11+T11</f>
        <v>2.7199999999999998</v>
      </c>
      <c r="D11" s="1355" t="e">
        <f>+F11+I11+L11+O11+U11</f>
        <v>#REF!</v>
      </c>
      <c r="E11" s="404"/>
      <c r="F11" s="430" t="e">
        <f>E11*B11</f>
        <v>#REF!</v>
      </c>
      <c r="G11" s="406" t="e">
        <f>F11*20</f>
        <v>#REF!</v>
      </c>
      <c r="H11" s="404">
        <v>2</v>
      </c>
      <c r="I11" s="405" t="e">
        <f>B11*H11</f>
        <v>#REF!</v>
      </c>
      <c r="J11" s="406" t="e">
        <f>+I11*Затраты!X5</f>
        <v>#REF!</v>
      </c>
      <c r="K11" s="407">
        <v>0.36</v>
      </c>
      <c r="L11" s="430" t="e">
        <f>B11*K11</f>
        <v>#REF!</v>
      </c>
      <c r="M11" s="406" t="e">
        <f>L11*Затраты!X6</f>
        <v>#REF!</v>
      </c>
      <c r="N11" s="407">
        <v>0.36</v>
      </c>
      <c r="O11" s="430" t="e">
        <f>B11*N11</f>
        <v>#REF!</v>
      </c>
      <c r="P11" s="406" t="e">
        <f>O11*Затраты!X7</f>
        <v>#REF!</v>
      </c>
      <c r="Q11" s="408">
        <v>1E-4</v>
      </c>
      <c r="R11" s="405">
        <v>0</v>
      </c>
      <c r="S11" s="406"/>
      <c r="T11" s="407"/>
      <c r="U11" s="405" t="e">
        <f>B11*T11</f>
        <v>#REF!</v>
      </c>
      <c r="V11" s="406" t="e">
        <f>U11*20</f>
        <v>#REF!</v>
      </c>
      <c r="W11" s="407"/>
      <c r="X11" s="405" t="e">
        <f>B11*W11</f>
        <v>#REF!</v>
      </c>
      <c r="Y11" s="409" t="e">
        <f>X11*15</f>
        <v>#REF!</v>
      </c>
      <c r="Z11" s="410"/>
      <c r="AA11" s="562" t="e">
        <f>G11+J11+P11+S11+V11+Y11+Z11+M11</f>
        <v>#REF!</v>
      </c>
    </row>
    <row r="12" spans="1:34" ht="21">
      <c r="A12" s="559" t="s">
        <v>320</v>
      </c>
      <c r="B12" s="393" t="e">
        <f>SUM(B13:B23)</f>
        <v>#REF!</v>
      </c>
      <c r="C12" s="394">
        <f t="shared" ref="C12:AA12" si="2">SUM(C13:C23)</f>
        <v>14.050000000000004</v>
      </c>
      <c r="D12" s="395" t="e">
        <f t="shared" si="2"/>
        <v>#REF!</v>
      </c>
      <c r="E12" s="396">
        <f t="shared" si="2"/>
        <v>0</v>
      </c>
      <c r="F12" s="397" t="e">
        <f t="shared" si="2"/>
        <v>#REF!</v>
      </c>
      <c r="G12" s="398" t="e">
        <f t="shared" si="2"/>
        <v>#REF!</v>
      </c>
      <c r="H12" s="396">
        <f t="shared" si="2"/>
        <v>11.5</v>
      </c>
      <c r="I12" s="397" t="e">
        <f t="shared" si="2"/>
        <v>#REF!</v>
      </c>
      <c r="J12" s="398" t="e">
        <f t="shared" si="2"/>
        <v>#DIV/0!</v>
      </c>
      <c r="K12" s="396">
        <f>SUM(K13:K23)</f>
        <v>2.25</v>
      </c>
      <c r="L12" s="397" t="e">
        <f t="shared" si="2"/>
        <v>#REF!</v>
      </c>
      <c r="M12" s="398" t="e">
        <f t="shared" si="2"/>
        <v>#REF!</v>
      </c>
      <c r="N12" s="396">
        <f t="shared" si="2"/>
        <v>0</v>
      </c>
      <c r="O12" s="397" t="e">
        <f t="shared" si="2"/>
        <v>#REF!</v>
      </c>
      <c r="P12" s="398" t="e">
        <f t="shared" si="2"/>
        <v>#REF!</v>
      </c>
      <c r="Q12" s="396">
        <f t="shared" si="2"/>
        <v>9.0000000000000019E-4</v>
      </c>
      <c r="R12" s="397" t="e">
        <f t="shared" si="2"/>
        <v>#REF!</v>
      </c>
      <c r="S12" s="402">
        <f t="shared" si="2"/>
        <v>0</v>
      </c>
      <c r="T12" s="396">
        <f t="shared" si="2"/>
        <v>0.3</v>
      </c>
      <c r="U12" s="397" t="e">
        <f t="shared" si="2"/>
        <v>#REF!</v>
      </c>
      <c r="V12" s="398" t="e">
        <f t="shared" si="2"/>
        <v>#REF!</v>
      </c>
      <c r="W12" s="396">
        <f t="shared" si="2"/>
        <v>0</v>
      </c>
      <c r="X12" s="400" t="e">
        <f t="shared" si="2"/>
        <v>#REF!</v>
      </c>
      <c r="Y12" s="401" t="e">
        <f t="shared" si="2"/>
        <v>#REF!</v>
      </c>
      <c r="Z12" s="396">
        <f t="shared" si="2"/>
        <v>0</v>
      </c>
      <c r="AA12" s="560" t="e">
        <f t="shared" si="2"/>
        <v>#REF!</v>
      </c>
    </row>
    <row r="13" spans="1:34">
      <c r="A13" s="563" t="s">
        <v>258</v>
      </c>
      <c r="B13" s="411" t="e">
        <f>'3-10.ДПЖ'!AA11</f>
        <v>#REF!</v>
      </c>
      <c r="C13" s="1354">
        <f>+E13+H13+K13+N13+T13</f>
        <v>0</v>
      </c>
      <c r="D13" s="1355" t="e">
        <f>+F13+I13+L13+O13+U13</f>
        <v>#REF!</v>
      </c>
      <c r="E13" s="404"/>
      <c r="F13" s="430" t="e">
        <f>E13*B13</f>
        <v>#REF!</v>
      </c>
      <c r="G13" s="406" t="e">
        <f>F13*20</f>
        <v>#REF!</v>
      </c>
      <c r="H13" s="404"/>
      <c r="I13" s="405"/>
      <c r="J13" s="406" t="e">
        <f>+I13*Затраты!X$5</f>
        <v>#DIV/0!</v>
      </c>
      <c r="K13" s="408"/>
      <c r="L13" s="430" t="e">
        <f>B13*K13</f>
        <v>#REF!</v>
      </c>
      <c r="M13" s="406" t="e">
        <f>L13*Затраты!X$6</f>
        <v>#REF!</v>
      </c>
      <c r="N13" s="408"/>
      <c r="O13" s="430" t="e">
        <f>B13*N13</f>
        <v>#REF!</v>
      </c>
      <c r="P13" s="406" t="e">
        <f>O13*Затраты!X$7</f>
        <v>#REF!</v>
      </c>
      <c r="Q13" s="408">
        <v>1E-4</v>
      </c>
      <c r="R13" s="405" t="e">
        <f>B13*Q13</f>
        <v>#REF!</v>
      </c>
      <c r="S13" s="406"/>
      <c r="T13" s="408"/>
      <c r="U13" s="405" t="e">
        <f>B13*T13</f>
        <v>#REF!</v>
      </c>
      <c r="V13" s="406" t="e">
        <f>U13*20</f>
        <v>#REF!</v>
      </c>
      <c r="W13" s="408"/>
      <c r="X13" s="405" t="e">
        <f>B13*W13</f>
        <v>#REF!</v>
      </c>
      <c r="Y13" s="409" t="e">
        <f>X13*15</f>
        <v>#REF!</v>
      </c>
      <c r="Z13" s="410"/>
      <c r="AA13" s="562" t="e">
        <f t="shared" ref="AA13:AA23" si="3">G13+J13+P13+S13+V13+Y13+Z13+M13</f>
        <v>#REF!</v>
      </c>
    </row>
    <row r="14" spans="1:34">
      <c r="A14" s="563" t="s">
        <v>261</v>
      </c>
      <c r="B14" s="411" t="e">
        <f>'3-10.ДПЖ'!AA12</f>
        <v>#REF!</v>
      </c>
      <c r="C14" s="1354">
        <f t="shared" ref="C14:C23" si="4">+E14+H14+K14+N14+T14</f>
        <v>2.9</v>
      </c>
      <c r="D14" s="1355" t="e">
        <f t="shared" ref="D14:D23" si="5">+F14+I14+L14+O14+U14</f>
        <v>#REF!</v>
      </c>
      <c r="E14" s="404"/>
      <c r="F14" s="430" t="e">
        <f t="shared" ref="F14:F23" si="6">E14*B14</f>
        <v>#REF!</v>
      </c>
      <c r="G14" s="406" t="e">
        <f t="shared" ref="G14:G23" si="7">F14*20</f>
        <v>#REF!</v>
      </c>
      <c r="H14" s="404">
        <v>2.5</v>
      </c>
      <c r="I14" s="405" t="e">
        <f t="shared" ref="I14:I21" si="8">B14*H14</f>
        <v>#REF!</v>
      </c>
      <c r="J14" s="406" t="e">
        <f>+I14*Затраты!X$5</f>
        <v>#REF!</v>
      </c>
      <c r="K14" s="408">
        <v>0.4</v>
      </c>
      <c r="L14" s="430" t="e">
        <f t="shared" ref="L14:L23" si="9">B14*K14</f>
        <v>#REF!</v>
      </c>
      <c r="M14" s="406" t="e">
        <f>L14*Затраты!X$6</f>
        <v>#REF!</v>
      </c>
      <c r="N14" s="408"/>
      <c r="O14" s="430" t="e">
        <f t="shared" ref="O14:O23" si="10">B14*N14</f>
        <v>#REF!</v>
      </c>
      <c r="P14" s="406" t="e">
        <f>O14*Затраты!X$7</f>
        <v>#REF!</v>
      </c>
      <c r="Q14" s="408">
        <v>1E-4</v>
      </c>
      <c r="R14" s="405" t="e">
        <f t="shared" ref="R14:R23" si="11">B14*Q14</f>
        <v>#REF!</v>
      </c>
      <c r="S14" s="406"/>
      <c r="T14" s="408"/>
      <c r="U14" s="405" t="e">
        <f t="shared" ref="U14:U23" si="12">B14*T14</f>
        <v>#REF!</v>
      </c>
      <c r="V14" s="406" t="e">
        <f t="shared" ref="V14:V21" si="13">U14*20</f>
        <v>#REF!</v>
      </c>
      <c r="W14" s="408"/>
      <c r="X14" s="405" t="e">
        <f t="shared" ref="X14:X23" si="14">B14*W14</f>
        <v>#REF!</v>
      </c>
      <c r="Y14" s="409" t="e">
        <f t="shared" ref="Y14:Y23" si="15">X14*15</f>
        <v>#REF!</v>
      </c>
      <c r="Z14" s="410"/>
      <c r="AA14" s="562" t="e">
        <f t="shared" si="3"/>
        <v>#REF!</v>
      </c>
    </row>
    <row r="15" spans="1:34">
      <c r="A15" s="563" t="s">
        <v>263</v>
      </c>
      <c r="B15" s="411" t="e">
        <f>'3-10.ДПЖ'!AA13</f>
        <v>#REF!</v>
      </c>
      <c r="C15" s="1354">
        <f t="shared" si="4"/>
        <v>2.35</v>
      </c>
      <c r="D15" s="1355" t="e">
        <f t="shared" si="5"/>
        <v>#REF!</v>
      </c>
      <c r="E15" s="404"/>
      <c r="F15" s="430" t="e">
        <f t="shared" si="6"/>
        <v>#REF!</v>
      </c>
      <c r="G15" s="406" t="e">
        <f t="shared" si="7"/>
        <v>#REF!</v>
      </c>
      <c r="H15" s="404">
        <v>2</v>
      </c>
      <c r="I15" s="405" t="e">
        <f t="shared" si="8"/>
        <v>#REF!</v>
      </c>
      <c r="J15" s="406" t="e">
        <f>+I15*Затраты!X$5</f>
        <v>#REF!</v>
      </c>
      <c r="K15" s="408">
        <v>0.35</v>
      </c>
      <c r="L15" s="430" t="e">
        <f t="shared" si="9"/>
        <v>#REF!</v>
      </c>
      <c r="M15" s="406" t="e">
        <f>L15*Затраты!X$6</f>
        <v>#REF!</v>
      </c>
      <c r="N15" s="408"/>
      <c r="O15" s="430" t="e">
        <f t="shared" si="10"/>
        <v>#REF!</v>
      </c>
      <c r="P15" s="406" t="e">
        <f>O15*Затраты!X$7</f>
        <v>#REF!</v>
      </c>
      <c r="Q15" s="408">
        <v>1E-4</v>
      </c>
      <c r="R15" s="405" t="e">
        <f t="shared" si="11"/>
        <v>#REF!</v>
      </c>
      <c r="S15" s="406"/>
      <c r="T15" s="408"/>
      <c r="U15" s="405" t="e">
        <f t="shared" si="12"/>
        <v>#REF!</v>
      </c>
      <c r="V15" s="406" t="e">
        <f t="shared" si="13"/>
        <v>#REF!</v>
      </c>
      <c r="W15" s="408"/>
      <c r="X15" s="405" t="e">
        <f t="shared" si="14"/>
        <v>#REF!</v>
      </c>
      <c r="Y15" s="409" t="e">
        <f t="shared" si="15"/>
        <v>#REF!</v>
      </c>
      <c r="Z15" s="410"/>
      <c r="AA15" s="562" t="e">
        <f t="shared" si="3"/>
        <v>#REF!</v>
      </c>
    </row>
    <row r="16" spans="1:34">
      <c r="A16" s="563" t="s">
        <v>264</v>
      </c>
      <c r="B16" s="411" t="e">
        <f>'3-10.ДПЖ'!AA14</f>
        <v>#REF!</v>
      </c>
      <c r="C16" s="1354">
        <f t="shared" si="4"/>
        <v>1.9000000000000001</v>
      </c>
      <c r="D16" s="1355" t="e">
        <f t="shared" si="5"/>
        <v>#REF!</v>
      </c>
      <c r="E16" s="404"/>
      <c r="F16" s="430" t="e">
        <f t="shared" si="6"/>
        <v>#REF!</v>
      </c>
      <c r="G16" s="406" t="e">
        <f t="shared" si="7"/>
        <v>#REF!</v>
      </c>
      <c r="H16" s="404">
        <v>1.6</v>
      </c>
      <c r="I16" s="405" t="e">
        <f t="shared" si="8"/>
        <v>#REF!</v>
      </c>
      <c r="J16" s="406" t="e">
        <f>+I16*Затраты!X$5</f>
        <v>#REF!</v>
      </c>
      <c r="K16" s="408">
        <v>0.3</v>
      </c>
      <c r="L16" s="430" t="e">
        <f t="shared" si="9"/>
        <v>#REF!</v>
      </c>
      <c r="M16" s="406" t="e">
        <f>L16*Затраты!X$6</f>
        <v>#REF!</v>
      </c>
      <c r="N16" s="408"/>
      <c r="O16" s="430" t="e">
        <f t="shared" si="10"/>
        <v>#REF!</v>
      </c>
      <c r="P16" s="406" t="e">
        <f>O16*Затраты!X$7</f>
        <v>#REF!</v>
      </c>
      <c r="Q16" s="408">
        <v>1E-4</v>
      </c>
      <c r="R16" s="405" t="e">
        <f t="shared" si="11"/>
        <v>#REF!</v>
      </c>
      <c r="S16" s="406"/>
      <c r="T16" s="408"/>
      <c r="U16" s="405" t="e">
        <f t="shared" si="12"/>
        <v>#REF!</v>
      </c>
      <c r="V16" s="406" t="e">
        <f t="shared" si="13"/>
        <v>#REF!</v>
      </c>
      <c r="W16" s="408"/>
      <c r="X16" s="405" t="e">
        <f t="shared" si="14"/>
        <v>#REF!</v>
      </c>
      <c r="Y16" s="409" t="e">
        <f t="shared" si="15"/>
        <v>#REF!</v>
      </c>
      <c r="Z16" s="410"/>
      <c r="AA16" s="562" t="e">
        <f t="shared" si="3"/>
        <v>#REF!</v>
      </c>
    </row>
    <row r="17" spans="1:34">
      <c r="A17" s="563" t="s">
        <v>267</v>
      </c>
      <c r="B17" s="411" t="e">
        <f>'3-10.ДПЖ'!AA15</f>
        <v>#REF!</v>
      </c>
      <c r="C17" s="1354">
        <f t="shared" si="4"/>
        <v>1.9000000000000001</v>
      </c>
      <c r="D17" s="1355" t="e">
        <f t="shared" si="5"/>
        <v>#REF!</v>
      </c>
      <c r="E17" s="404"/>
      <c r="F17" s="430" t="e">
        <f t="shared" si="6"/>
        <v>#REF!</v>
      </c>
      <c r="G17" s="406" t="e">
        <f t="shared" si="7"/>
        <v>#REF!</v>
      </c>
      <c r="H17" s="404">
        <v>1.6</v>
      </c>
      <c r="I17" s="405" t="e">
        <f t="shared" si="8"/>
        <v>#REF!</v>
      </c>
      <c r="J17" s="406" t="e">
        <f>+I17*Затраты!X$5</f>
        <v>#REF!</v>
      </c>
      <c r="K17" s="408">
        <v>0.3</v>
      </c>
      <c r="L17" s="430" t="e">
        <f t="shared" si="9"/>
        <v>#REF!</v>
      </c>
      <c r="M17" s="406" t="e">
        <f>L17*Затраты!X$6</f>
        <v>#REF!</v>
      </c>
      <c r="N17" s="408"/>
      <c r="O17" s="430" t="e">
        <f t="shared" si="10"/>
        <v>#REF!</v>
      </c>
      <c r="P17" s="406" t="e">
        <f>O17*Затраты!X$7</f>
        <v>#REF!</v>
      </c>
      <c r="Q17" s="408">
        <v>1E-4</v>
      </c>
      <c r="R17" s="405" t="e">
        <f t="shared" si="11"/>
        <v>#REF!</v>
      </c>
      <c r="S17" s="406"/>
      <c r="T17" s="408"/>
      <c r="U17" s="405" t="e">
        <f t="shared" si="12"/>
        <v>#REF!</v>
      </c>
      <c r="V17" s="406" t="e">
        <f t="shared" si="13"/>
        <v>#REF!</v>
      </c>
      <c r="W17" s="408"/>
      <c r="X17" s="405" t="e">
        <f t="shared" si="14"/>
        <v>#REF!</v>
      </c>
      <c r="Y17" s="409" t="e">
        <f t="shared" si="15"/>
        <v>#REF!</v>
      </c>
      <c r="Z17" s="410"/>
      <c r="AA17" s="562" t="e">
        <f t="shared" si="3"/>
        <v>#REF!</v>
      </c>
    </row>
    <row r="18" spans="1:34">
      <c r="A18" s="563" t="s">
        <v>265</v>
      </c>
      <c r="B18" s="411" t="e">
        <f>'3-10.ДПЖ'!AA16</f>
        <v>#REF!</v>
      </c>
      <c r="C18" s="1354">
        <f t="shared" si="4"/>
        <v>1.4</v>
      </c>
      <c r="D18" s="1355" t="e">
        <f t="shared" si="5"/>
        <v>#REF!</v>
      </c>
      <c r="E18" s="404"/>
      <c r="F18" s="430" t="e">
        <f t="shared" si="6"/>
        <v>#REF!</v>
      </c>
      <c r="G18" s="406" t="e">
        <f t="shared" si="7"/>
        <v>#REF!</v>
      </c>
      <c r="H18" s="404">
        <v>1.2</v>
      </c>
      <c r="I18" s="405" t="e">
        <f t="shared" si="8"/>
        <v>#REF!</v>
      </c>
      <c r="J18" s="406" t="e">
        <f>+I18*Затраты!X$5</f>
        <v>#REF!</v>
      </c>
      <c r="K18" s="408">
        <v>0.2</v>
      </c>
      <c r="L18" s="430" t="e">
        <f t="shared" si="9"/>
        <v>#REF!</v>
      </c>
      <c r="M18" s="406" t="e">
        <f>L18*Затраты!X$6</f>
        <v>#REF!</v>
      </c>
      <c r="N18" s="408"/>
      <c r="O18" s="430" t="e">
        <f t="shared" si="10"/>
        <v>#REF!</v>
      </c>
      <c r="P18" s="406" t="e">
        <f>O18*Затраты!X$7</f>
        <v>#REF!</v>
      </c>
      <c r="Q18" s="408">
        <v>1E-4</v>
      </c>
      <c r="R18" s="405" t="e">
        <f t="shared" si="11"/>
        <v>#REF!</v>
      </c>
      <c r="S18" s="406"/>
      <c r="T18" s="408"/>
      <c r="U18" s="405" t="e">
        <f t="shared" si="12"/>
        <v>#REF!</v>
      </c>
      <c r="V18" s="406" t="e">
        <f t="shared" si="13"/>
        <v>#REF!</v>
      </c>
      <c r="W18" s="408"/>
      <c r="X18" s="405" t="e">
        <f t="shared" si="14"/>
        <v>#REF!</v>
      </c>
      <c r="Y18" s="409" t="e">
        <f t="shared" si="15"/>
        <v>#REF!</v>
      </c>
      <c r="Z18" s="410"/>
      <c r="AA18" s="562" t="e">
        <f t="shared" si="3"/>
        <v>#REF!</v>
      </c>
    </row>
    <row r="19" spans="1:34">
      <c r="A19" s="563" t="s">
        <v>268</v>
      </c>
      <c r="B19" s="411" t="e">
        <f>'3-10.ДПЖ'!AA17</f>
        <v>#REF!</v>
      </c>
      <c r="C19" s="1354">
        <f t="shared" si="4"/>
        <v>1.4</v>
      </c>
      <c r="D19" s="1355" t="e">
        <f t="shared" si="5"/>
        <v>#REF!</v>
      </c>
      <c r="E19" s="404"/>
      <c r="F19" s="430" t="e">
        <f t="shared" si="6"/>
        <v>#REF!</v>
      </c>
      <c r="G19" s="406" t="e">
        <f t="shared" si="7"/>
        <v>#REF!</v>
      </c>
      <c r="H19" s="404">
        <v>1.2</v>
      </c>
      <c r="I19" s="405" t="e">
        <f t="shared" si="8"/>
        <v>#REF!</v>
      </c>
      <c r="J19" s="406" t="e">
        <f>+I19*Затраты!X$5</f>
        <v>#REF!</v>
      </c>
      <c r="K19" s="408">
        <v>0.2</v>
      </c>
      <c r="L19" s="430" t="e">
        <f t="shared" si="9"/>
        <v>#REF!</v>
      </c>
      <c r="M19" s="406" t="e">
        <f>L19*Затраты!X$6</f>
        <v>#REF!</v>
      </c>
      <c r="N19" s="408"/>
      <c r="O19" s="430" t="e">
        <f t="shared" si="10"/>
        <v>#REF!</v>
      </c>
      <c r="P19" s="406" t="e">
        <f>O19*Затраты!X$7</f>
        <v>#REF!</v>
      </c>
      <c r="Q19" s="408">
        <v>1E-4</v>
      </c>
      <c r="R19" s="405" t="e">
        <f t="shared" si="11"/>
        <v>#REF!</v>
      </c>
      <c r="S19" s="406"/>
      <c r="T19" s="408"/>
      <c r="U19" s="405" t="e">
        <f t="shared" si="12"/>
        <v>#REF!</v>
      </c>
      <c r="V19" s="406" t="e">
        <f t="shared" si="13"/>
        <v>#REF!</v>
      </c>
      <c r="W19" s="408"/>
      <c r="X19" s="405" t="e">
        <f t="shared" si="14"/>
        <v>#REF!</v>
      </c>
      <c r="Y19" s="409" t="e">
        <f t="shared" si="15"/>
        <v>#REF!</v>
      </c>
      <c r="Z19" s="410"/>
      <c r="AA19" s="562" t="e">
        <f t="shared" si="3"/>
        <v>#REF!</v>
      </c>
    </row>
    <row r="20" spans="1:34">
      <c r="A20" s="563" t="s">
        <v>266</v>
      </c>
      <c r="B20" s="411" t="e">
        <f>'3-10.ДПЖ'!AA18</f>
        <v>#REF!</v>
      </c>
      <c r="C20" s="1354">
        <f t="shared" si="4"/>
        <v>0.55000000000000004</v>
      </c>
      <c r="D20" s="1355" t="e">
        <f t="shared" si="5"/>
        <v>#REF!</v>
      </c>
      <c r="E20" s="404"/>
      <c r="F20" s="430" t="e">
        <f t="shared" si="6"/>
        <v>#REF!</v>
      </c>
      <c r="G20" s="406" t="e">
        <f t="shared" si="7"/>
        <v>#REF!</v>
      </c>
      <c r="H20" s="404">
        <v>0.4</v>
      </c>
      <c r="I20" s="405" t="e">
        <f t="shared" si="8"/>
        <v>#REF!</v>
      </c>
      <c r="J20" s="406" t="e">
        <f>+I20*Затраты!X$5</f>
        <v>#REF!</v>
      </c>
      <c r="K20" s="408">
        <v>0.15</v>
      </c>
      <c r="L20" s="430" t="e">
        <f t="shared" si="9"/>
        <v>#REF!</v>
      </c>
      <c r="M20" s="406" t="e">
        <f>L20*Затраты!X$6</f>
        <v>#REF!</v>
      </c>
      <c r="N20" s="408"/>
      <c r="O20" s="430" t="e">
        <f t="shared" si="10"/>
        <v>#REF!</v>
      </c>
      <c r="P20" s="406" t="e">
        <f>O20*Затраты!X$7</f>
        <v>#REF!</v>
      </c>
      <c r="Q20" s="408">
        <v>1E-4</v>
      </c>
      <c r="R20" s="405" t="e">
        <f t="shared" si="11"/>
        <v>#REF!</v>
      </c>
      <c r="S20" s="406"/>
      <c r="T20" s="408"/>
      <c r="U20" s="405" t="e">
        <f t="shared" si="12"/>
        <v>#REF!</v>
      </c>
      <c r="V20" s="406" t="e">
        <f t="shared" si="13"/>
        <v>#REF!</v>
      </c>
      <c r="W20" s="408"/>
      <c r="X20" s="405" t="e">
        <f t="shared" si="14"/>
        <v>#REF!</v>
      </c>
      <c r="Y20" s="409" t="e">
        <f t="shared" si="15"/>
        <v>#REF!</v>
      </c>
      <c r="Z20" s="410"/>
      <c r="AA20" s="562" t="e">
        <f t="shared" si="3"/>
        <v>#REF!</v>
      </c>
    </row>
    <row r="21" spans="1:34">
      <c r="A21" s="563" t="s">
        <v>269</v>
      </c>
      <c r="B21" s="411" t="e">
        <f>'3-10.ДПЖ'!AA19</f>
        <v>#REF!</v>
      </c>
      <c r="C21" s="1354">
        <f t="shared" si="4"/>
        <v>0.55000000000000004</v>
      </c>
      <c r="D21" s="1355" t="e">
        <f t="shared" si="5"/>
        <v>#REF!</v>
      </c>
      <c r="E21" s="404"/>
      <c r="F21" s="430" t="e">
        <f t="shared" si="6"/>
        <v>#REF!</v>
      </c>
      <c r="G21" s="406" t="e">
        <f t="shared" si="7"/>
        <v>#REF!</v>
      </c>
      <c r="H21" s="404">
        <v>0.4</v>
      </c>
      <c r="I21" s="405" t="e">
        <f t="shared" si="8"/>
        <v>#REF!</v>
      </c>
      <c r="J21" s="406" t="e">
        <f>+I21*Затраты!X$5</f>
        <v>#REF!</v>
      </c>
      <c r="K21" s="408">
        <v>0.15</v>
      </c>
      <c r="L21" s="430" t="e">
        <f t="shared" si="9"/>
        <v>#REF!</v>
      </c>
      <c r="M21" s="406" t="e">
        <f>L21*Затраты!X$6</f>
        <v>#REF!</v>
      </c>
      <c r="N21" s="408"/>
      <c r="O21" s="430" t="e">
        <f t="shared" si="10"/>
        <v>#REF!</v>
      </c>
      <c r="P21" s="406" t="e">
        <f>O21*Затраты!X$7</f>
        <v>#REF!</v>
      </c>
      <c r="Q21" s="408">
        <v>1E-4</v>
      </c>
      <c r="R21" s="405" t="e">
        <f t="shared" si="11"/>
        <v>#REF!</v>
      </c>
      <c r="S21" s="406"/>
      <c r="T21" s="408"/>
      <c r="U21" s="405" t="e">
        <f t="shared" si="12"/>
        <v>#REF!</v>
      </c>
      <c r="V21" s="406" t="e">
        <f t="shared" si="13"/>
        <v>#REF!</v>
      </c>
      <c r="W21" s="408"/>
      <c r="X21" s="405" t="e">
        <f t="shared" si="14"/>
        <v>#REF!</v>
      </c>
      <c r="Y21" s="409" t="e">
        <f t="shared" si="15"/>
        <v>#REF!</v>
      </c>
      <c r="Z21" s="410"/>
      <c r="AA21" s="562" t="e">
        <f t="shared" si="3"/>
        <v>#REF!</v>
      </c>
    </row>
    <row r="22" spans="1:34">
      <c r="A22" s="564" t="s">
        <v>270</v>
      </c>
      <c r="B22" s="411" t="e">
        <f>'3-10.ДПЖ'!AA20</f>
        <v>#REF!</v>
      </c>
      <c r="C22" s="1354">
        <f t="shared" si="4"/>
        <v>0.55000000000000004</v>
      </c>
      <c r="D22" s="1355" t="e">
        <f t="shared" si="5"/>
        <v>#REF!</v>
      </c>
      <c r="E22" s="404"/>
      <c r="F22" s="430" t="e">
        <f t="shared" si="6"/>
        <v>#REF!</v>
      </c>
      <c r="G22" s="406" t="e">
        <f t="shared" si="7"/>
        <v>#REF!</v>
      </c>
      <c r="H22" s="404">
        <v>0.3</v>
      </c>
      <c r="I22" s="405" t="e">
        <f>B22*H22</f>
        <v>#REF!</v>
      </c>
      <c r="J22" s="406" t="e">
        <f>+I22*Затраты!X$5</f>
        <v>#REF!</v>
      </c>
      <c r="K22" s="408">
        <v>0.1</v>
      </c>
      <c r="L22" s="430" t="e">
        <f t="shared" si="9"/>
        <v>#REF!</v>
      </c>
      <c r="M22" s="406" t="e">
        <f>L22*Затраты!X$6</f>
        <v>#REF!</v>
      </c>
      <c r="N22" s="408"/>
      <c r="O22" s="430" t="e">
        <f t="shared" si="10"/>
        <v>#REF!</v>
      </c>
      <c r="P22" s="406" t="e">
        <f>O22*Затраты!X$7</f>
        <v>#REF!</v>
      </c>
      <c r="Q22" s="408"/>
      <c r="R22" s="405" t="e">
        <f t="shared" si="11"/>
        <v>#REF!</v>
      </c>
      <c r="S22" s="406"/>
      <c r="T22" s="408">
        <v>0.15</v>
      </c>
      <c r="U22" s="405" t="e">
        <f t="shared" si="12"/>
        <v>#REF!</v>
      </c>
      <c r="V22" s="406" t="e">
        <f>+U22*45</f>
        <v>#REF!</v>
      </c>
      <c r="W22" s="408"/>
      <c r="X22" s="405" t="e">
        <f t="shared" si="14"/>
        <v>#REF!</v>
      </c>
      <c r="Y22" s="409" t="e">
        <f t="shared" si="15"/>
        <v>#REF!</v>
      </c>
      <c r="Z22" s="412"/>
      <c r="AA22" s="562" t="e">
        <f t="shared" si="3"/>
        <v>#REF!</v>
      </c>
    </row>
    <row r="23" spans="1:34" ht="12" thickBot="1">
      <c r="A23" s="565" t="s">
        <v>272</v>
      </c>
      <c r="B23" s="566" t="e">
        <f>'3-10.ДПЖ'!AA21</f>
        <v>#REF!</v>
      </c>
      <c r="C23" s="1356">
        <f t="shared" si="4"/>
        <v>0.55000000000000004</v>
      </c>
      <c r="D23" s="1357" t="e">
        <f t="shared" si="5"/>
        <v>#REF!</v>
      </c>
      <c r="E23" s="567"/>
      <c r="F23" s="568" t="e">
        <f t="shared" si="6"/>
        <v>#REF!</v>
      </c>
      <c r="G23" s="569" t="e">
        <f t="shared" si="7"/>
        <v>#REF!</v>
      </c>
      <c r="H23" s="567">
        <v>0.3</v>
      </c>
      <c r="I23" s="570" t="e">
        <f>B23*H23</f>
        <v>#REF!</v>
      </c>
      <c r="J23" s="569" t="e">
        <f>+I23*Затраты!X$5</f>
        <v>#REF!</v>
      </c>
      <c r="K23" s="571">
        <v>0.1</v>
      </c>
      <c r="L23" s="568" t="e">
        <f t="shared" si="9"/>
        <v>#REF!</v>
      </c>
      <c r="M23" s="569" t="e">
        <f>L23*Затраты!X$6</f>
        <v>#REF!</v>
      </c>
      <c r="N23" s="571"/>
      <c r="O23" s="568" t="e">
        <f t="shared" si="10"/>
        <v>#REF!</v>
      </c>
      <c r="P23" s="569" t="e">
        <f>O23*Затраты!X$7</f>
        <v>#REF!</v>
      </c>
      <c r="Q23" s="571"/>
      <c r="R23" s="570" t="e">
        <f t="shared" si="11"/>
        <v>#REF!</v>
      </c>
      <c r="S23" s="569"/>
      <c r="T23" s="571">
        <v>0.15</v>
      </c>
      <c r="U23" s="570" t="e">
        <f t="shared" si="12"/>
        <v>#REF!</v>
      </c>
      <c r="V23" s="569" t="e">
        <f>+U23*45</f>
        <v>#REF!</v>
      </c>
      <c r="W23" s="571"/>
      <c r="X23" s="570" t="e">
        <f t="shared" si="14"/>
        <v>#REF!</v>
      </c>
      <c r="Y23" s="572" t="e">
        <f t="shared" si="15"/>
        <v>#REF!</v>
      </c>
      <c r="Z23" s="573"/>
      <c r="AA23" s="574" t="e">
        <f t="shared" si="3"/>
        <v>#REF!</v>
      </c>
    </row>
    <row r="24" spans="1:34" ht="12" thickTop="1">
      <c r="A24" s="549" t="s">
        <v>336</v>
      </c>
      <c r="I24" s="414"/>
      <c r="L24" s="414"/>
    </row>
    <row r="25" spans="1:34" ht="12" thickBot="1">
      <c r="A25" s="358">
        <f>+A2+1</f>
        <v>2020</v>
      </c>
      <c r="B25" s="358"/>
      <c r="C25" s="357"/>
      <c r="D25" s="357"/>
      <c r="E25" s="357" t="s">
        <v>469</v>
      </c>
      <c r="F25" s="357"/>
      <c r="G25" s="359"/>
      <c r="H25" s="357"/>
      <c r="I25" s="357"/>
      <c r="J25" s="357"/>
      <c r="K25" s="357"/>
      <c r="L25" s="357"/>
      <c r="M25" s="357"/>
      <c r="N25" s="357"/>
      <c r="O25" s="357"/>
      <c r="P25" s="357"/>
      <c r="Q25" s="357"/>
      <c r="R25" s="357"/>
      <c r="S25" s="357"/>
      <c r="T25" s="357"/>
      <c r="U25" s="357"/>
      <c r="V25" s="357"/>
      <c r="W25" s="357"/>
      <c r="X25" s="357"/>
      <c r="Y25" s="357"/>
      <c r="Z25" s="357"/>
      <c r="AA25" s="1294" t="s">
        <v>546</v>
      </c>
    </row>
    <row r="26" spans="1:34" ht="12.75" thickTop="1" thickBot="1">
      <c r="A26" s="2081" t="s">
        <v>224</v>
      </c>
      <c r="B26" s="2083" t="s">
        <v>308</v>
      </c>
      <c r="C26" s="2085" t="s">
        <v>309</v>
      </c>
      <c r="D26" s="2086"/>
      <c r="E26" s="2089" t="s">
        <v>310</v>
      </c>
      <c r="F26" s="2089"/>
      <c r="G26" s="2089"/>
      <c r="H26" s="2089"/>
      <c r="I26" s="2089"/>
      <c r="J26" s="2089"/>
      <c r="K26" s="2089"/>
      <c r="L26" s="2089"/>
      <c r="M26" s="2089"/>
      <c r="N26" s="2089"/>
      <c r="O26" s="2089"/>
      <c r="P26" s="2089"/>
      <c r="Q26" s="2089"/>
      <c r="R26" s="2089"/>
      <c r="S26" s="2089"/>
      <c r="T26" s="2089"/>
      <c r="U26" s="2089"/>
      <c r="V26" s="2089"/>
      <c r="W26" s="2089"/>
      <c r="X26" s="2089"/>
      <c r="Y26" s="2090"/>
      <c r="Z26" s="2091" t="s">
        <v>311</v>
      </c>
      <c r="AA26" s="2075" t="s">
        <v>312</v>
      </c>
    </row>
    <row r="27" spans="1:34" ht="11.25" customHeight="1">
      <c r="A27" s="2082"/>
      <c r="B27" s="2084"/>
      <c r="C27" s="2087"/>
      <c r="D27" s="2088"/>
      <c r="E27" s="2077" t="s">
        <v>313</v>
      </c>
      <c r="F27" s="2078"/>
      <c r="G27" s="2079"/>
      <c r="H27" s="2077" t="s">
        <v>210</v>
      </c>
      <c r="I27" s="2078"/>
      <c r="J27" s="2079"/>
      <c r="K27" s="2093" t="s">
        <v>338</v>
      </c>
      <c r="L27" s="2094"/>
      <c r="M27" s="2095"/>
      <c r="N27" s="2077" t="s">
        <v>337</v>
      </c>
      <c r="O27" s="2078"/>
      <c r="P27" s="2079"/>
      <c r="Q27" s="2077" t="s">
        <v>278</v>
      </c>
      <c r="R27" s="2078"/>
      <c r="S27" s="2079"/>
      <c r="T27" s="2077" t="s">
        <v>330</v>
      </c>
      <c r="U27" s="2078"/>
      <c r="V27" s="2079"/>
      <c r="W27" s="2077" t="s">
        <v>468</v>
      </c>
      <c r="X27" s="2078"/>
      <c r="Y27" s="2080"/>
      <c r="Z27" s="2092"/>
      <c r="AA27" s="2076"/>
    </row>
    <row r="28" spans="1:34" ht="33.75">
      <c r="A28" s="2082"/>
      <c r="B28" s="2084"/>
      <c r="C28" s="907" t="s">
        <v>314</v>
      </c>
      <c r="D28" s="908" t="s">
        <v>315</v>
      </c>
      <c r="E28" s="361" t="s">
        <v>316</v>
      </c>
      <c r="F28" s="362" t="s">
        <v>315</v>
      </c>
      <c r="G28" s="363" t="s">
        <v>317</v>
      </c>
      <c r="H28" s="361" t="s">
        <v>318</v>
      </c>
      <c r="I28" s="362" t="s">
        <v>315</v>
      </c>
      <c r="J28" s="363" t="s">
        <v>317</v>
      </c>
      <c r="K28" s="361" t="s">
        <v>316</v>
      </c>
      <c r="L28" s="362" t="s">
        <v>315</v>
      </c>
      <c r="M28" s="363" t="s">
        <v>317</v>
      </c>
      <c r="N28" s="361" t="s">
        <v>316</v>
      </c>
      <c r="O28" s="362" t="s">
        <v>315</v>
      </c>
      <c r="P28" s="363" t="s">
        <v>317</v>
      </c>
      <c r="Q28" s="361" t="s">
        <v>314</v>
      </c>
      <c r="R28" s="362" t="s">
        <v>315</v>
      </c>
      <c r="S28" s="363" t="s">
        <v>317</v>
      </c>
      <c r="T28" s="361" t="s">
        <v>316</v>
      </c>
      <c r="U28" s="362" t="s">
        <v>315</v>
      </c>
      <c r="V28" s="363" t="s">
        <v>317</v>
      </c>
      <c r="W28" s="361" t="s">
        <v>316</v>
      </c>
      <c r="X28" s="362" t="s">
        <v>315</v>
      </c>
      <c r="Y28" s="364" t="s">
        <v>317</v>
      </c>
      <c r="Z28" s="2092"/>
      <c r="AA28" s="2076"/>
    </row>
    <row r="29" spans="1:34" ht="12" thickBot="1">
      <c r="A29" s="553" t="s">
        <v>305</v>
      </c>
      <c r="B29" s="365">
        <v>1</v>
      </c>
      <c r="C29" s="366">
        <v>2</v>
      </c>
      <c r="D29" s="367">
        <v>3</v>
      </c>
      <c r="E29" s="368">
        <v>2</v>
      </c>
      <c r="F29" s="369">
        <v>3</v>
      </c>
      <c r="G29" s="370">
        <v>4</v>
      </c>
      <c r="H29" s="368">
        <v>5</v>
      </c>
      <c r="I29" s="369">
        <v>6</v>
      </c>
      <c r="J29" s="370">
        <v>7</v>
      </c>
      <c r="K29" s="371">
        <v>8</v>
      </c>
      <c r="L29" s="372">
        <v>9</v>
      </c>
      <c r="M29" s="370">
        <v>10</v>
      </c>
      <c r="N29" s="368">
        <v>11</v>
      </c>
      <c r="O29" s="369">
        <v>12</v>
      </c>
      <c r="P29" s="370">
        <v>13</v>
      </c>
      <c r="Q29" s="368">
        <v>14</v>
      </c>
      <c r="R29" s="369">
        <v>15</v>
      </c>
      <c r="S29" s="370">
        <v>16</v>
      </c>
      <c r="T29" s="368">
        <v>17</v>
      </c>
      <c r="U29" s="369">
        <v>18</v>
      </c>
      <c r="V29" s="370">
        <v>19</v>
      </c>
      <c r="W29" s="368">
        <v>20</v>
      </c>
      <c r="X29" s="369">
        <v>21</v>
      </c>
      <c r="Y29" s="373">
        <v>22</v>
      </c>
      <c r="Z29" s="368">
        <v>55</v>
      </c>
      <c r="AA29" s="554">
        <v>23</v>
      </c>
    </row>
    <row r="30" spans="1:34">
      <c r="A30" s="555"/>
      <c r="B30" s="374"/>
      <c r="C30" s="375"/>
      <c r="D30" s="376"/>
      <c r="E30" s="377"/>
      <c r="F30" s="378"/>
      <c r="G30" s="379"/>
      <c r="H30" s="377"/>
      <c r="I30" s="378"/>
      <c r="J30" s="379"/>
      <c r="K30" s="380"/>
      <c r="L30" s="381"/>
      <c r="M30" s="379"/>
      <c r="N30" s="377"/>
      <c r="O30" s="378"/>
      <c r="P30" s="379"/>
      <c r="Q30" s="377"/>
      <c r="R30" s="378"/>
      <c r="S30" s="379"/>
      <c r="T30" s="377"/>
      <c r="U30" s="378"/>
      <c r="V30" s="379"/>
      <c r="W30" s="377"/>
      <c r="X30" s="378"/>
      <c r="Y30" s="382"/>
      <c r="Z30" s="377"/>
      <c r="AA30" s="556"/>
    </row>
    <row r="31" spans="1:34">
      <c r="A31" s="557" t="s">
        <v>306</v>
      </c>
      <c r="B31" s="383" t="e">
        <f>B32+B35</f>
        <v>#REF!</v>
      </c>
      <c r="C31" s="384"/>
      <c r="D31" s="385"/>
      <c r="E31" s="386">
        <f t="shared" ref="E31:Y31" si="16">E32+E35</f>
        <v>0</v>
      </c>
      <c r="F31" s="387" t="e">
        <f t="shared" si="16"/>
        <v>#REF!</v>
      </c>
      <c r="G31" s="389" t="e">
        <f t="shared" si="16"/>
        <v>#REF!</v>
      </c>
      <c r="H31" s="386">
        <f t="shared" si="16"/>
        <v>15.5</v>
      </c>
      <c r="I31" s="387" t="e">
        <f t="shared" si="16"/>
        <v>#REF!</v>
      </c>
      <c r="J31" s="389" t="e">
        <f t="shared" si="16"/>
        <v>#DIV/0!</v>
      </c>
      <c r="K31" s="386">
        <f t="shared" si="16"/>
        <v>3.9400000000000008</v>
      </c>
      <c r="L31" s="387" t="e">
        <f t="shared" si="16"/>
        <v>#REF!</v>
      </c>
      <c r="M31" s="389" t="e">
        <f t="shared" si="16"/>
        <v>#REF!</v>
      </c>
      <c r="N31" s="386">
        <f t="shared" si="16"/>
        <v>0.36</v>
      </c>
      <c r="O31" s="387" t="e">
        <f t="shared" si="16"/>
        <v>#REF!</v>
      </c>
      <c r="P31" s="389" t="e">
        <f t="shared" si="16"/>
        <v>#REF!</v>
      </c>
      <c r="Q31" s="386">
        <f t="shared" si="16"/>
        <v>0</v>
      </c>
      <c r="R31" s="387" t="e">
        <f t="shared" si="16"/>
        <v>#REF!</v>
      </c>
      <c r="S31" s="389">
        <f t="shared" si="16"/>
        <v>0</v>
      </c>
      <c r="T31" s="386">
        <f t="shared" si="16"/>
        <v>0.3</v>
      </c>
      <c r="U31" s="387" t="e">
        <f t="shared" si="16"/>
        <v>#REF!</v>
      </c>
      <c r="V31" s="389" t="e">
        <f t="shared" si="16"/>
        <v>#REF!</v>
      </c>
      <c r="W31" s="386">
        <f t="shared" si="16"/>
        <v>0</v>
      </c>
      <c r="X31" s="387" t="e">
        <f t="shared" si="16"/>
        <v>#REF!</v>
      </c>
      <c r="Y31" s="416" t="e">
        <f t="shared" si="16"/>
        <v>#REF!</v>
      </c>
      <c r="Z31" s="386">
        <f>Z32+Z35</f>
        <v>0</v>
      </c>
      <c r="AA31" s="558" t="e">
        <f>AA32+AA35</f>
        <v>#REF!</v>
      </c>
    </row>
    <row r="32" spans="1:34" ht="21">
      <c r="A32" s="559" t="s">
        <v>319</v>
      </c>
      <c r="B32" s="393" t="e">
        <f>SUM(B33:B34)</f>
        <v>#REF!</v>
      </c>
      <c r="C32" s="394">
        <f t="shared" ref="C32:Z32" si="17">SUM(C33:C34)</f>
        <v>2.96</v>
      </c>
      <c r="D32" s="395" t="e">
        <f t="shared" si="17"/>
        <v>#REF!</v>
      </c>
      <c r="E32" s="396">
        <f t="shared" si="17"/>
        <v>0</v>
      </c>
      <c r="F32" s="397" t="e">
        <f t="shared" si="17"/>
        <v>#REF!</v>
      </c>
      <c r="G32" s="402" t="e">
        <f t="shared" si="17"/>
        <v>#REF!</v>
      </c>
      <c r="H32" s="396">
        <f>SUM(H33:H34)</f>
        <v>2</v>
      </c>
      <c r="I32" s="397" t="e">
        <f t="shared" si="17"/>
        <v>#REF!</v>
      </c>
      <c r="J32" s="402" t="e">
        <f t="shared" si="17"/>
        <v>#DIV/0!</v>
      </c>
      <c r="K32" s="396">
        <f t="shared" si="17"/>
        <v>0.6</v>
      </c>
      <c r="L32" s="397" t="e">
        <f t="shared" si="17"/>
        <v>#REF!</v>
      </c>
      <c r="M32" s="402" t="e">
        <f t="shared" si="17"/>
        <v>#REF!</v>
      </c>
      <c r="N32" s="396">
        <f t="shared" si="17"/>
        <v>0.36</v>
      </c>
      <c r="O32" s="397" t="e">
        <f t="shared" si="17"/>
        <v>#REF!</v>
      </c>
      <c r="P32" s="402" t="e">
        <f t="shared" si="17"/>
        <v>#REF!</v>
      </c>
      <c r="Q32" s="396">
        <f t="shared" si="17"/>
        <v>0</v>
      </c>
      <c r="R32" s="397" t="e">
        <f t="shared" si="17"/>
        <v>#REF!</v>
      </c>
      <c r="S32" s="402">
        <f t="shared" si="17"/>
        <v>0</v>
      </c>
      <c r="T32" s="396">
        <f t="shared" si="17"/>
        <v>0</v>
      </c>
      <c r="U32" s="397" t="e">
        <f t="shared" si="17"/>
        <v>#REF!</v>
      </c>
      <c r="V32" s="402" t="e">
        <f t="shared" si="17"/>
        <v>#REF!</v>
      </c>
      <c r="W32" s="396">
        <f t="shared" si="17"/>
        <v>0</v>
      </c>
      <c r="X32" s="397" t="e">
        <f t="shared" si="17"/>
        <v>#REF!</v>
      </c>
      <c r="Y32" s="417" t="e">
        <f t="shared" si="17"/>
        <v>#REF!</v>
      </c>
      <c r="Z32" s="396">
        <f t="shared" si="17"/>
        <v>0</v>
      </c>
      <c r="AA32" s="560" t="e">
        <f>SUM(AA33:AA34)</f>
        <v>#REF!</v>
      </c>
      <c r="AB32" s="418"/>
      <c r="AD32" s="2074" t="s">
        <v>77</v>
      </c>
      <c r="AE32" s="2074"/>
      <c r="AF32" s="2074"/>
      <c r="AG32" s="2074"/>
      <c r="AH32" s="2074"/>
    </row>
    <row r="33" spans="1:27">
      <c r="A33" s="561" t="s">
        <v>244</v>
      </c>
      <c r="B33" s="403" t="e">
        <f>'3-10.ДПЖ'!AA32</f>
        <v>#REF!</v>
      </c>
      <c r="C33" s="1354">
        <f t="shared" ref="C33:C34" si="18">+E33+H33+K33+N33+T33</f>
        <v>0</v>
      </c>
      <c r="D33" s="1355" t="e">
        <f t="shared" ref="D33:D34" si="19">+F33+I33+L33+O33+U33</f>
        <v>#REF!</v>
      </c>
      <c r="E33" s="404"/>
      <c r="F33" s="405" t="e">
        <f>E33*B33</f>
        <v>#REF!</v>
      </c>
      <c r="G33" s="406" t="e">
        <f>F33*20</f>
        <v>#REF!</v>
      </c>
      <c r="H33" s="404"/>
      <c r="I33" s="405"/>
      <c r="J33" s="406" t="e">
        <f>I33*Затраты!X$14</f>
        <v>#DIV/0!</v>
      </c>
      <c r="K33" s="407"/>
      <c r="L33" s="405" t="e">
        <f>B33*K33</f>
        <v>#REF!</v>
      </c>
      <c r="M33" s="406" t="e">
        <f>L33*Затраты!X$15</f>
        <v>#REF!</v>
      </c>
      <c r="N33" s="408"/>
      <c r="O33" s="405" t="e">
        <f>B33*N33</f>
        <v>#REF!</v>
      </c>
      <c r="P33" s="406" t="e">
        <f>O33*Затраты!X$16</f>
        <v>#REF!</v>
      </c>
      <c r="Q33" s="408"/>
      <c r="R33" s="405" t="e">
        <f>B33*Q33</f>
        <v>#REF!</v>
      </c>
      <c r="S33" s="406"/>
      <c r="T33" s="408"/>
      <c r="U33" s="405" t="e">
        <f>B33*T33</f>
        <v>#REF!</v>
      </c>
      <c r="V33" s="406" t="e">
        <f>U33*20</f>
        <v>#REF!</v>
      </c>
      <c r="W33" s="408"/>
      <c r="X33" s="405" t="e">
        <f>B33*W33</f>
        <v>#REF!</v>
      </c>
      <c r="Y33" s="409" t="e">
        <f>X33*15</f>
        <v>#REF!</v>
      </c>
      <c r="Z33" s="419"/>
      <c r="AA33" s="562" t="e">
        <f>G33+J33+P33+S33+V33+Y33+Z33+M33</f>
        <v>#REF!</v>
      </c>
    </row>
    <row r="34" spans="1:27">
      <c r="A34" s="561" t="s">
        <v>260</v>
      </c>
      <c r="B34" s="403" t="e">
        <f>'3-10.ДПЖ'!AA33</f>
        <v>#REF!</v>
      </c>
      <c r="C34" s="1354">
        <f t="shared" si="18"/>
        <v>2.96</v>
      </c>
      <c r="D34" s="1355" t="e">
        <f t="shared" si="19"/>
        <v>#REF!</v>
      </c>
      <c r="E34" s="404"/>
      <c r="F34" s="405" t="e">
        <f>E34*B34</f>
        <v>#REF!</v>
      </c>
      <c r="G34" s="406" t="e">
        <f>F34*20</f>
        <v>#REF!</v>
      </c>
      <c r="H34" s="404">
        <v>2</v>
      </c>
      <c r="I34" s="405" t="e">
        <f>B34*H34</f>
        <v>#REF!</v>
      </c>
      <c r="J34" s="406" t="e">
        <f>I34*Затраты!X$14</f>
        <v>#REF!</v>
      </c>
      <c r="K34" s="407">
        <v>0.6</v>
      </c>
      <c r="L34" s="405" t="e">
        <f>B34*K34</f>
        <v>#REF!</v>
      </c>
      <c r="M34" s="406" t="e">
        <f>L34*Затраты!X$15</f>
        <v>#REF!</v>
      </c>
      <c r="N34" s="408">
        <v>0.36</v>
      </c>
      <c r="O34" s="405" t="e">
        <f>B34*N34</f>
        <v>#REF!</v>
      </c>
      <c r="P34" s="406" t="e">
        <f>O34*Затраты!X$16</f>
        <v>#REF!</v>
      </c>
      <c r="Q34" s="408"/>
      <c r="R34" s="405" t="e">
        <f>B34*Q34</f>
        <v>#REF!</v>
      </c>
      <c r="S34" s="406"/>
      <c r="T34" s="408"/>
      <c r="U34" s="405" t="e">
        <f>B34*T34</f>
        <v>#REF!</v>
      </c>
      <c r="V34" s="406" t="e">
        <f>U34*20</f>
        <v>#REF!</v>
      </c>
      <c r="W34" s="408"/>
      <c r="X34" s="405" t="e">
        <f>B34*W34</f>
        <v>#REF!</v>
      </c>
      <c r="Y34" s="409" t="e">
        <f>X34*15</f>
        <v>#REF!</v>
      </c>
      <c r="Z34" s="419"/>
      <c r="AA34" s="562" t="e">
        <f>G34+J34+P34+S34+V34+Y34+Z34+M34</f>
        <v>#REF!</v>
      </c>
    </row>
    <row r="35" spans="1:27" ht="21">
      <c r="A35" s="559" t="s">
        <v>320</v>
      </c>
      <c r="B35" s="393" t="e">
        <f>SUM(B36:B46)</f>
        <v>#REF!</v>
      </c>
      <c r="C35" s="394">
        <f t="shared" ref="C35:AA35" si="20">SUM(C36:C46)</f>
        <v>17.14</v>
      </c>
      <c r="D35" s="395" t="e">
        <f t="shared" si="20"/>
        <v>#REF!</v>
      </c>
      <c r="E35" s="396">
        <f t="shared" si="20"/>
        <v>0</v>
      </c>
      <c r="F35" s="397" t="e">
        <f t="shared" si="20"/>
        <v>#REF!</v>
      </c>
      <c r="G35" s="398" t="e">
        <f t="shared" si="20"/>
        <v>#REF!</v>
      </c>
      <c r="H35" s="396">
        <f t="shared" si="20"/>
        <v>13.5</v>
      </c>
      <c r="I35" s="397" t="e">
        <f t="shared" si="20"/>
        <v>#REF!</v>
      </c>
      <c r="J35" s="402" t="e">
        <f t="shared" si="20"/>
        <v>#REF!</v>
      </c>
      <c r="K35" s="396">
        <f t="shared" si="20"/>
        <v>3.3400000000000007</v>
      </c>
      <c r="L35" s="397" t="e">
        <f t="shared" si="20"/>
        <v>#REF!</v>
      </c>
      <c r="M35" s="402" t="e">
        <f t="shared" si="20"/>
        <v>#REF!</v>
      </c>
      <c r="N35" s="396">
        <f t="shared" si="20"/>
        <v>0</v>
      </c>
      <c r="O35" s="397" t="e">
        <f t="shared" si="20"/>
        <v>#REF!</v>
      </c>
      <c r="P35" s="402" t="e">
        <f t="shared" si="20"/>
        <v>#REF!</v>
      </c>
      <c r="Q35" s="396">
        <f t="shared" si="20"/>
        <v>0</v>
      </c>
      <c r="R35" s="397" t="e">
        <f t="shared" si="20"/>
        <v>#REF!</v>
      </c>
      <c r="S35" s="402">
        <f t="shared" si="20"/>
        <v>0</v>
      </c>
      <c r="T35" s="396">
        <f t="shared" si="20"/>
        <v>0.3</v>
      </c>
      <c r="U35" s="397" t="e">
        <f t="shared" si="20"/>
        <v>#REF!</v>
      </c>
      <c r="V35" s="402" t="e">
        <f t="shared" si="20"/>
        <v>#REF!</v>
      </c>
      <c r="W35" s="396">
        <f t="shared" si="20"/>
        <v>0</v>
      </c>
      <c r="X35" s="397" t="e">
        <f t="shared" si="20"/>
        <v>#REF!</v>
      </c>
      <c r="Y35" s="417" t="e">
        <f t="shared" si="20"/>
        <v>#REF!</v>
      </c>
      <c r="Z35" s="396">
        <f t="shared" si="20"/>
        <v>0</v>
      </c>
      <c r="AA35" s="560" t="e">
        <f t="shared" si="20"/>
        <v>#REF!</v>
      </c>
    </row>
    <row r="36" spans="1:27">
      <c r="A36" s="563" t="s">
        <v>258</v>
      </c>
      <c r="B36" s="411" t="e">
        <f>'3-10.ДПЖ'!AA34</f>
        <v>#REF!</v>
      </c>
      <c r="C36" s="1354">
        <f t="shared" ref="C36:C46" si="21">+E36+H36+K36+N36+T36</f>
        <v>2</v>
      </c>
      <c r="D36" s="1355" t="e">
        <f t="shared" ref="D36:D46" si="22">+F36+I36+L36+O36+U36</f>
        <v>#REF!</v>
      </c>
      <c r="E36" s="404"/>
      <c r="F36" s="405" t="e">
        <f>E36*B36</f>
        <v>#REF!</v>
      </c>
      <c r="G36" s="406" t="e">
        <f t="shared" ref="G36:G46" si="23">F36*20</f>
        <v>#REF!</v>
      </c>
      <c r="H36" s="404">
        <v>2</v>
      </c>
      <c r="I36" s="405" t="e">
        <f>B36*H36</f>
        <v>#REF!</v>
      </c>
      <c r="J36" s="406" t="e">
        <f>I36*Затраты!X$14</f>
        <v>#REF!</v>
      </c>
      <c r="K36" s="408"/>
      <c r="L36" s="405" t="e">
        <f>B36*K36</f>
        <v>#REF!</v>
      </c>
      <c r="M36" s="406" t="e">
        <f>L36*Затраты!X$15</f>
        <v>#REF!</v>
      </c>
      <c r="N36" s="408"/>
      <c r="O36" s="405" t="e">
        <f>B36*N36</f>
        <v>#REF!</v>
      </c>
      <c r="P36" s="406" t="e">
        <f>O36*Затраты!X$16</f>
        <v>#REF!</v>
      </c>
      <c r="Q36" s="408"/>
      <c r="R36" s="405" t="e">
        <f>B36*Q36</f>
        <v>#REF!</v>
      </c>
      <c r="S36" s="406"/>
      <c r="T36" s="408"/>
      <c r="U36" s="405" t="e">
        <f>B36*T36</f>
        <v>#REF!</v>
      </c>
      <c r="V36" s="406" t="e">
        <f>U36*20</f>
        <v>#REF!</v>
      </c>
      <c r="W36" s="408"/>
      <c r="X36" s="405" t="e">
        <f>B36*W36</f>
        <v>#REF!</v>
      </c>
      <c r="Y36" s="409" t="e">
        <f>X36*15</f>
        <v>#REF!</v>
      </c>
      <c r="Z36" s="410"/>
      <c r="AA36" s="562" t="e">
        <f t="shared" ref="AA36:AA46" si="24">G36+J36+P36+S36+V36+Y36+Z36+M36</f>
        <v>#REF!</v>
      </c>
    </row>
    <row r="37" spans="1:27">
      <c r="A37" s="563" t="s">
        <v>261</v>
      </c>
      <c r="B37" s="411" t="e">
        <f>'3-10.ДПЖ'!AA35</f>
        <v>#REF!</v>
      </c>
      <c r="C37" s="1354">
        <f t="shared" si="21"/>
        <v>3.1</v>
      </c>
      <c r="D37" s="1355" t="e">
        <f t="shared" si="22"/>
        <v>#REF!</v>
      </c>
      <c r="E37" s="404"/>
      <c r="F37" s="405" t="e">
        <f t="shared" ref="F37:F46" si="25">E37*B37</f>
        <v>#REF!</v>
      </c>
      <c r="G37" s="406" t="e">
        <f t="shared" si="23"/>
        <v>#REF!</v>
      </c>
      <c r="H37" s="404">
        <v>2.5</v>
      </c>
      <c r="I37" s="405" t="e">
        <f t="shared" ref="I37:I44" si="26">B37*H37</f>
        <v>#REF!</v>
      </c>
      <c r="J37" s="406" t="e">
        <f>I37*Затраты!X$14</f>
        <v>#REF!</v>
      </c>
      <c r="K37" s="408">
        <v>0.6</v>
      </c>
      <c r="L37" s="405" t="e">
        <f t="shared" ref="L37:L46" si="27">B37*K37</f>
        <v>#REF!</v>
      </c>
      <c r="M37" s="406" t="e">
        <f>L37*Затраты!X$15</f>
        <v>#REF!</v>
      </c>
      <c r="N37" s="408"/>
      <c r="O37" s="405" t="e">
        <f t="shared" ref="O37:O46" si="28">B37*N37</f>
        <v>#REF!</v>
      </c>
      <c r="P37" s="406" t="e">
        <f>O37*Затраты!X$16</f>
        <v>#REF!</v>
      </c>
      <c r="Q37" s="408"/>
      <c r="R37" s="405" t="e">
        <f t="shared" ref="R37:R46" si="29">B37*Q37</f>
        <v>#REF!</v>
      </c>
      <c r="S37" s="406"/>
      <c r="T37" s="408"/>
      <c r="U37" s="405" t="e">
        <f t="shared" ref="U37:U46" si="30">B37*T37</f>
        <v>#REF!</v>
      </c>
      <c r="V37" s="406" t="e">
        <f t="shared" ref="V37:V44" si="31">U37*20</f>
        <v>#REF!</v>
      </c>
      <c r="W37" s="408"/>
      <c r="X37" s="405" t="e">
        <f t="shared" ref="X37:X46" si="32">B37*W37</f>
        <v>#REF!</v>
      </c>
      <c r="Y37" s="409" t="e">
        <f t="shared" ref="Y37:Y46" si="33">X37*15</f>
        <v>#REF!</v>
      </c>
      <c r="Z37" s="410"/>
      <c r="AA37" s="562" t="e">
        <f t="shared" si="24"/>
        <v>#REF!</v>
      </c>
    </row>
    <row r="38" spans="1:27">
      <c r="A38" s="563" t="s">
        <v>263</v>
      </c>
      <c r="B38" s="411" t="e">
        <f>'3-10.ДПЖ'!AA36</f>
        <v>#REF!</v>
      </c>
      <c r="C38" s="1354">
        <f t="shared" si="21"/>
        <v>2.4</v>
      </c>
      <c r="D38" s="1355" t="e">
        <f t="shared" si="22"/>
        <v>#REF!</v>
      </c>
      <c r="E38" s="404"/>
      <c r="F38" s="405" t="e">
        <f t="shared" si="25"/>
        <v>#REF!</v>
      </c>
      <c r="G38" s="406" t="e">
        <f t="shared" si="23"/>
        <v>#REF!</v>
      </c>
      <c r="H38" s="404">
        <v>2</v>
      </c>
      <c r="I38" s="405" t="e">
        <f t="shared" si="26"/>
        <v>#REF!</v>
      </c>
      <c r="J38" s="406" t="e">
        <f>I38*Затраты!X$14</f>
        <v>#REF!</v>
      </c>
      <c r="K38" s="408">
        <v>0.4</v>
      </c>
      <c r="L38" s="405" t="e">
        <f t="shared" si="27"/>
        <v>#REF!</v>
      </c>
      <c r="M38" s="406" t="e">
        <f>L38*Затраты!X$15</f>
        <v>#REF!</v>
      </c>
      <c r="N38" s="408"/>
      <c r="O38" s="405" t="e">
        <f t="shared" si="28"/>
        <v>#REF!</v>
      </c>
      <c r="P38" s="406" t="e">
        <f>O38*Затраты!X$16</f>
        <v>#REF!</v>
      </c>
      <c r="Q38" s="408"/>
      <c r="R38" s="405" t="e">
        <f t="shared" si="29"/>
        <v>#REF!</v>
      </c>
      <c r="S38" s="406"/>
      <c r="T38" s="408"/>
      <c r="U38" s="405" t="e">
        <f t="shared" si="30"/>
        <v>#REF!</v>
      </c>
      <c r="V38" s="406" t="e">
        <f t="shared" si="31"/>
        <v>#REF!</v>
      </c>
      <c r="W38" s="408"/>
      <c r="X38" s="405" t="e">
        <f t="shared" si="32"/>
        <v>#REF!</v>
      </c>
      <c r="Y38" s="409" t="e">
        <f t="shared" si="33"/>
        <v>#REF!</v>
      </c>
      <c r="Z38" s="410"/>
      <c r="AA38" s="562" t="e">
        <f t="shared" si="24"/>
        <v>#REF!</v>
      </c>
    </row>
    <row r="39" spans="1:27">
      <c r="A39" s="563" t="s">
        <v>264</v>
      </c>
      <c r="B39" s="411" t="e">
        <f>'3-10.ДПЖ'!AA37</f>
        <v>#REF!</v>
      </c>
      <c r="C39" s="1354">
        <f t="shared" si="21"/>
        <v>1.9500000000000002</v>
      </c>
      <c r="D39" s="1355" t="e">
        <f t="shared" si="22"/>
        <v>#REF!</v>
      </c>
      <c r="E39" s="404"/>
      <c r="F39" s="405" t="e">
        <f t="shared" si="25"/>
        <v>#REF!</v>
      </c>
      <c r="G39" s="406" t="e">
        <f t="shared" si="23"/>
        <v>#REF!</v>
      </c>
      <c r="H39" s="404">
        <v>1.6</v>
      </c>
      <c r="I39" s="405" t="e">
        <f t="shared" si="26"/>
        <v>#REF!</v>
      </c>
      <c r="J39" s="406" t="e">
        <f>I39*Затраты!X$14</f>
        <v>#REF!</v>
      </c>
      <c r="K39" s="408">
        <v>0.35</v>
      </c>
      <c r="L39" s="405" t="e">
        <f t="shared" si="27"/>
        <v>#REF!</v>
      </c>
      <c r="M39" s="406" t="e">
        <f>L39*Затраты!X$15</f>
        <v>#REF!</v>
      </c>
      <c r="N39" s="408"/>
      <c r="O39" s="405" t="e">
        <f t="shared" si="28"/>
        <v>#REF!</v>
      </c>
      <c r="P39" s="406" t="e">
        <f>O39*Затраты!X$16</f>
        <v>#REF!</v>
      </c>
      <c r="Q39" s="408"/>
      <c r="R39" s="405" t="e">
        <f t="shared" si="29"/>
        <v>#REF!</v>
      </c>
      <c r="S39" s="406"/>
      <c r="T39" s="408"/>
      <c r="U39" s="405" t="e">
        <f t="shared" si="30"/>
        <v>#REF!</v>
      </c>
      <c r="V39" s="406" t="e">
        <f t="shared" si="31"/>
        <v>#REF!</v>
      </c>
      <c r="W39" s="408"/>
      <c r="X39" s="405" t="e">
        <f t="shared" si="32"/>
        <v>#REF!</v>
      </c>
      <c r="Y39" s="409" t="e">
        <f t="shared" si="33"/>
        <v>#REF!</v>
      </c>
      <c r="Z39" s="410"/>
      <c r="AA39" s="562" t="e">
        <f t="shared" si="24"/>
        <v>#REF!</v>
      </c>
    </row>
    <row r="40" spans="1:27">
      <c r="A40" s="563" t="s">
        <v>267</v>
      </c>
      <c r="B40" s="411" t="e">
        <f>'3-10.ДПЖ'!AA38</f>
        <v>#REF!</v>
      </c>
      <c r="C40" s="1354">
        <f t="shared" si="21"/>
        <v>1.9500000000000002</v>
      </c>
      <c r="D40" s="1355" t="e">
        <f t="shared" si="22"/>
        <v>#REF!</v>
      </c>
      <c r="E40" s="404"/>
      <c r="F40" s="405" t="e">
        <f t="shared" si="25"/>
        <v>#REF!</v>
      </c>
      <c r="G40" s="406" t="e">
        <f t="shared" si="23"/>
        <v>#REF!</v>
      </c>
      <c r="H40" s="404">
        <v>1.6</v>
      </c>
      <c r="I40" s="405" t="e">
        <f t="shared" si="26"/>
        <v>#REF!</v>
      </c>
      <c r="J40" s="406" t="e">
        <f>I40*Затраты!X$14</f>
        <v>#REF!</v>
      </c>
      <c r="K40" s="408">
        <v>0.35</v>
      </c>
      <c r="L40" s="405" t="e">
        <f t="shared" si="27"/>
        <v>#REF!</v>
      </c>
      <c r="M40" s="406" t="e">
        <f>L40*Затраты!X$15</f>
        <v>#REF!</v>
      </c>
      <c r="N40" s="408"/>
      <c r="O40" s="405" t="e">
        <f t="shared" si="28"/>
        <v>#REF!</v>
      </c>
      <c r="P40" s="406" t="e">
        <f>O40*Затраты!X$16</f>
        <v>#REF!</v>
      </c>
      <c r="Q40" s="408"/>
      <c r="R40" s="405" t="e">
        <f t="shared" si="29"/>
        <v>#REF!</v>
      </c>
      <c r="S40" s="406"/>
      <c r="T40" s="408"/>
      <c r="U40" s="405" t="e">
        <f t="shared" si="30"/>
        <v>#REF!</v>
      </c>
      <c r="V40" s="406" t="e">
        <f t="shared" si="31"/>
        <v>#REF!</v>
      </c>
      <c r="W40" s="408"/>
      <c r="X40" s="405" t="e">
        <f t="shared" si="32"/>
        <v>#REF!</v>
      </c>
      <c r="Y40" s="409" t="e">
        <f t="shared" si="33"/>
        <v>#REF!</v>
      </c>
      <c r="Z40" s="410"/>
      <c r="AA40" s="562" t="e">
        <f t="shared" si="24"/>
        <v>#REF!</v>
      </c>
    </row>
    <row r="41" spans="1:27">
      <c r="A41" s="563" t="s">
        <v>265</v>
      </c>
      <c r="B41" s="411" t="e">
        <f>'3-10.ДПЖ'!AA39</f>
        <v>#REF!</v>
      </c>
      <c r="C41" s="1354">
        <f t="shared" si="21"/>
        <v>1.5</v>
      </c>
      <c r="D41" s="1355" t="e">
        <f t="shared" si="22"/>
        <v>#REF!</v>
      </c>
      <c r="E41" s="404"/>
      <c r="F41" s="405" t="e">
        <f t="shared" si="25"/>
        <v>#REF!</v>
      </c>
      <c r="G41" s="406" t="e">
        <f t="shared" si="23"/>
        <v>#REF!</v>
      </c>
      <c r="H41" s="404">
        <v>1.2</v>
      </c>
      <c r="I41" s="405" t="e">
        <f t="shared" si="26"/>
        <v>#REF!</v>
      </c>
      <c r="J41" s="406" t="e">
        <f>I41*Затраты!X$14</f>
        <v>#REF!</v>
      </c>
      <c r="K41" s="408">
        <v>0.3</v>
      </c>
      <c r="L41" s="405" t="e">
        <f t="shared" si="27"/>
        <v>#REF!</v>
      </c>
      <c r="M41" s="406" t="e">
        <f>L41*Затраты!X$15</f>
        <v>#REF!</v>
      </c>
      <c r="N41" s="408"/>
      <c r="O41" s="405" t="e">
        <f t="shared" si="28"/>
        <v>#REF!</v>
      </c>
      <c r="P41" s="406" t="e">
        <f>O41*Затраты!X$16</f>
        <v>#REF!</v>
      </c>
      <c r="Q41" s="408"/>
      <c r="R41" s="405" t="e">
        <f t="shared" si="29"/>
        <v>#REF!</v>
      </c>
      <c r="S41" s="406"/>
      <c r="T41" s="408"/>
      <c r="U41" s="405" t="e">
        <f t="shared" si="30"/>
        <v>#REF!</v>
      </c>
      <c r="V41" s="406" t="e">
        <f t="shared" si="31"/>
        <v>#REF!</v>
      </c>
      <c r="W41" s="408"/>
      <c r="X41" s="405" t="e">
        <f t="shared" si="32"/>
        <v>#REF!</v>
      </c>
      <c r="Y41" s="409" t="e">
        <f t="shared" si="33"/>
        <v>#REF!</v>
      </c>
      <c r="Z41" s="410"/>
      <c r="AA41" s="562" t="e">
        <f t="shared" si="24"/>
        <v>#REF!</v>
      </c>
    </row>
    <row r="42" spans="1:27">
      <c r="A42" s="563" t="s">
        <v>268</v>
      </c>
      <c r="B42" s="411" t="e">
        <f>'3-10.ДПЖ'!AA40</f>
        <v>#REF!</v>
      </c>
      <c r="C42" s="1354">
        <f t="shared" si="21"/>
        <v>1.5</v>
      </c>
      <c r="D42" s="1355" t="e">
        <f t="shared" si="22"/>
        <v>#REF!</v>
      </c>
      <c r="E42" s="404"/>
      <c r="F42" s="405" t="e">
        <f t="shared" si="25"/>
        <v>#REF!</v>
      </c>
      <c r="G42" s="406" t="e">
        <f t="shared" si="23"/>
        <v>#REF!</v>
      </c>
      <c r="H42" s="404">
        <v>1.2</v>
      </c>
      <c r="I42" s="405" t="e">
        <f t="shared" si="26"/>
        <v>#REF!</v>
      </c>
      <c r="J42" s="406" t="e">
        <f>I42*Затраты!X$14</f>
        <v>#REF!</v>
      </c>
      <c r="K42" s="408">
        <v>0.3</v>
      </c>
      <c r="L42" s="405" t="e">
        <f t="shared" si="27"/>
        <v>#REF!</v>
      </c>
      <c r="M42" s="406" t="e">
        <f>L42*Затраты!X$15</f>
        <v>#REF!</v>
      </c>
      <c r="N42" s="408"/>
      <c r="O42" s="405" t="e">
        <f t="shared" si="28"/>
        <v>#REF!</v>
      </c>
      <c r="P42" s="406" t="e">
        <f>O42*Затраты!X$16</f>
        <v>#REF!</v>
      </c>
      <c r="Q42" s="408"/>
      <c r="R42" s="405" t="e">
        <f t="shared" si="29"/>
        <v>#REF!</v>
      </c>
      <c r="S42" s="406"/>
      <c r="T42" s="408"/>
      <c r="U42" s="405" t="e">
        <f t="shared" si="30"/>
        <v>#REF!</v>
      </c>
      <c r="V42" s="406" t="e">
        <f t="shared" si="31"/>
        <v>#REF!</v>
      </c>
      <c r="W42" s="408"/>
      <c r="X42" s="405" t="e">
        <f t="shared" si="32"/>
        <v>#REF!</v>
      </c>
      <c r="Y42" s="409" t="e">
        <f t="shared" si="33"/>
        <v>#REF!</v>
      </c>
      <c r="Z42" s="410"/>
      <c r="AA42" s="562" t="e">
        <f t="shared" si="24"/>
        <v>#REF!</v>
      </c>
    </row>
    <row r="43" spans="1:27">
      <c r="A43" s="563" t="s">
        <v>266</v>
      </c>
      <c r="B43" s="411" t="e">
        <f>'3-10.ДПЖ'!AA41</f>
        <v>#REF!</v>
      </c>
      <c r="C43" s="1354">
        <f t="shared" si="21"/>
        <v>0.68</v>
      </c>
      <c r="D43" s="1355" t="e">
        <f t="shared" si="22"/>
        <v>#REF!</v>
      </c>
      <c r="E43" s="404"/>
      <c r="F43" s="405" t="e">
        <f t="shared" si="25"/>
        <v>#REF!</v>
      </c>
      <c r="G43" s="406" t="e">
        <f t="shared" si="23"/>
        <v>#REF!</v>
      </c>
      <c r="H43" s="404">
        <v>0.4</v>
      </c>
      <c r="I43" s="405" t="e">
        <f t="shared" si="26"/>
        <v>#REF!</v>
      </c>
      <c r="J43" s="406" t="e">
        <f>I43*Затраты!X$14</f>
        <v>#REF!</v>
      </c>
      <c r="K43" s="408">
        <v>0.28000000000000003</v>
      </c>
      <c r="L43" s="405" t="e">
        <f t="shared" si="27"/>
        <v>#REF!</v>
      </c>
      <c r="M43" s="406" t="e">
        <f>L43*Затраты!X$15</f>
        <v>#REF!</v>
      </c>
      <c r="N43" s="408"/>
      <c r="O43" s="405" t="e">
        <f t="shared" si="28"/>
        <v>#REF!</v>
      </c>
      <c r="P43" s="406" t="e">
        <f>O43*Затраты!X$16</f>
        <v>#REF!</v>
      </c>
      <c r="Q43" s="408"/>
      <c r="R43" s="405" t="e">
        <f t="shared" si="29"/>
        <v>#REF!</v>
      </c>
      <c r="S43" s="406"/>
      <c r="T43" s="408"/>
      <c r="U43" s="405" t="e">
        <f t="shared" si="30"/>
        <v>#REF!</v>
      </c>
      <c r="V43" s="406" t="e">
        <f t="shared" si="31"/>
        <v>#REF!</v>
      </c>
      <c r="W43" s="408"/>
      <c r="X43" s="405" t="e">
        <f t="shared" si="32"/>
        <v>#REF!</v>
      </c>
      <c r="Y43" s="409" t="e">
        <f t="shared" si="33"/>
        <v>#REF!</v>
      </c>
      <c r="Z43" s="410"/>
      <c r="AA43" s="562" t="e">
        <f t="shared" si="24"/>
        <v>#REF!</v>
      </c>
    </row>
    <row r="44" spans="1:27">
      <c r="A44" s="563" t="s">
        <v>269</v>
      </c>
      <c r="B44" s="411" t="e">
        <f>'3-10.ДПЖ'!AA42</f>
        <v>#REF!</v>
      </c>
      <c r="C44" s="1354">
        <f t="shared" si="21"/>
        <v>0.68</v>
      </c>
      <c r="D44" s="1355" t="e">
        <f t="shared" si="22"/>
        <v>#REF!</v>
      </c>
      <c r="E44" s="404"/>
      <c r="F44" s="405" t="e">
        <f t="shared" si="25"/>
        <v>#REF!</v>
      </c>
      <c r="G44" s="406" t="e">
        <f t="shared" si="23"/>
        <v>#REF!</v>
      </c>
      <c r="H44" s="404">
        <v>0.4</v>
      </c>
      <c r="I44" s="405" t="e">
        <f t="shared" si="26"/>
        <v>#REF!</v>
      </c>
      <c r="J44" s="406" t="e">
        <f>I44*Затраты!X$14</f>
        <v>#REF!</v>
      </c>
      <c r="K44" s="408">
        <v>0.28000000000000003</v>
      </c>
      <c r="L44" s="405" t="e">
        <f t="shared" si="27"/>
        <v>#REF!</v>
      </c>
      <c r="M44" s="406" t="e">
        <f>L44*Затраты!X$15</f>
        <v>#REF!</v>
      </c>
      <c r="N44" s="408"/>
      <c r="O44" s="405" t="e">
        <f t="shared" si="28"/>
        <v>#REF!</v>
      </c>
      <c r="P44" s="406" t="e">
        <f>O44*Затраты!X$16</f>
        <v>#REF!</v>
      </c>
      <c r="Q44" s="408"/>
      <c r="R44" s="405" t="e">
        <f t="shared" si="29"/>
        <v>#REF!</v>
      </c>
      <c r="S44" s="406"/>
      <c r="T44" s="408"/>
      <c r="U44" s="405" t="e">
        <f t="shared" si="30"/>
        <v>#REF!</v>
      </c>
      <c r="V44" s="406" t="e">
        <f t="shared" si="31"/>
        <v>#REF!</v>
      </c>
      <c r="W44" s="408"/>
      <c r="X44" s="405" t="e">
        <f t="shared" si="32"/>
        <v>#REF!</v>
      </c>
      <c r="Y44" s="409" t="e">
        <f t="shared" si="33"/>
        <v>#REF!</v>
      </c>
      <c r="Z44" s="410"/>
      <c r="AA44" s="562" t="e">
        <f t="shared" si="24"/>
        <v>#REF!</v>
      </c>
    </row>
    <row r="45" spans="1:27">
      <c r="A45" s="564" t="s">
        <v>270</v>
      </c>
      <c r="B45" s="411" t="e">
        <f>'3-10.ДПЖ'!AA43</f>
        <v>#REF!</v>
      </c>
      <c r="C45" s="1354">
        <f t="shared" si="21"/>
        <v>0.69000000000000006</v>
      </c>
      <c r="D45" s="1355" t="e">
        <f t="shared" si="22"/>
        <v>#REF!</v>
      </c>
      <c r="E45" s="404"/>
      <c r="F45" s="405" t="e">
        <f t="shared" si="25"/>
        <v>#REF!</v>
      </c>
      <c r="G45" s="406" t="e">
        <f t="shared" si="23"/>
        <v>#REF!</v>
      </c>
      <c r="H45" s="404">
        <v>0.3</v>
      </c>
      <c r="I45" s="405" t="e">
        <f>B45*H45</f>
        <v>#REF!</v>
      </c>
      <c r="J45" s="406" t="e">
        <f>I45*Затраты!X$14</f>
        <v>#REF!</v>
      </c>
      <c r="K45" s="408">
        <v>0.24</v>
      </c>
      <c r="L45" s="405" t="e">
        <f t="shared" si="27"/>
        <v>#REF!</v>
      </c>
      <c r="M45" s="406" t="e">
        <f>L45*Затраты!X$15</f>
        <v>#REF!</v>
      </c>
      <c r="N45" s="408"/>
      <c r="O45" s="405" t="e">
        <f t="shared" si="28"/>
        <v>#REF!</v>
      </c>
      <c r="P45" s="406" t="e">
        <f>O45*Затраты!X$16</f>
        <v>#REF!</v>
      </c>
      <c r="Q45" s="408"/>
      <c r="R45" s="405" t="e">
        <f t="shared" si="29"/>
        <v>#REF!</v>
      </c>
      <c r="S45" s="406"/>
      <c r="T45" s="408">
        <v>0.15</v>
      </c>
      <c r="U45" s="405" t="e">
        <f t="shared" si="30"/>
        <v>#REF!</v>
      </c>
      <c r="V45" s="406" t="e">
        <f>+U45*45</f>
        <v>#REF!</v>
      </c>
      <c r="W45" s="408"/>
      <c r="X45" s="405" t="e">
        <f t="shared" si="32"/>
        <v>#REF!</v>
      </c>
      <c r="Y45" s="409" t="e">
        <f t="shared" si="33"/>
        <v>#REF!</v>
      </c>
      <c r="Z45" s="412"/>
      <c r="AA45" s="562" t="e">
        <f t="shared" si="24"/>
        <v>#REF!</v>
      </c>
    </row>
    <row r="46" spans="1:27" ht="12" thickBot="1">
      <c r="A46" s="565" t="s">
        <v>272</v>
      </c>
      <c r="B46" s="566" t="e">
        <f>'3-10.ДПЖ'!AA44</f>
        <v>#REF!</v>
      </c>
      <c r="C46" s="1356">
        <f t="shared" si="21"/>
        <v>0.69000000000000006</v>
      </c>
      <c r="D46" s="1357" t="e">
        <f t="shared" si="22"/>
        <v>#REF!</v>
      </c>
      <c r="E46" s="567"/>
      <c r="F46" s="570" t="e">
        <f t="shared" si="25"/>
        <v>#REF!</v>
      </c>
      <c r="G46" s="569" t="e">
        <f t="shared" si="23"/>
        <v>#REF!</v>
      </c>
      <c r="H46" s="567">
        <v>0.3</v>
      </c>
      <c r="I46" s="570" t="e">
        <f>B46*H46</f>
        <v>#REF!</v>
      </c>
      <c r="J46" s="569" t="e">
        <f>I46*Затраты!X$14</f>
        <v>#REF!</v>
      </c>
      <c r="K46" s="571">
        <v>0.24</v>
      </c>
      <c r="L46" s="570" t="e">
        <f t="shared" si="27"/>
        <v>#REF!</v>
      </c>
      <c r="M46" s="569" t="e">
        <f>L46*Затраты!X$15</f>
        <v>#REF!</v>
      </c>
      <c r="N46" s="571"/>
      <c r="O46" s="570" t="e">
        <f t="shared" si="28"/>
        <v>#REF!</v>
      </c>
      <c r="P46" s="569" t="e">
        <f>O46*Затраты!X$16</f>
        <v>#REF!</v>
      </c>
      <c r="Q46" s="571"/>
      <c r="R46" s="570" t="e">
        <f t="shared" si="29"/>
        <v>#REF!</v>
      </c>
      <c r="S46" s="569"/>
      <c r="T46" s="571">
        <v>0.15</v>
      </c>
      <c r="U46" s="570" t="e">
        <f t="shared" si="30"/>
        <v>#REF!</v>
      </c>
      <c r="V46" s="569" t="e">
        <f>+U46*45</f>
        <v>#REF!</v>
      </c>
      <c r="W46" s="571"/>
      <c r="X46" s="570" t="e">
        <f t="shared" si="32"/>
        <v>#REF!</v>
      </c>
      <c r="Y46" s="572" t="e">
        <f t="shared" si="33"/>
        <v>#REF!</v>
      </c>
      <c r="Z46" s="573"/>
      <c r="AA46" s="574" t="e">
        <f t="shared" si="24"/>
        <v>#REF!</v>
      </c>
    </row>
    <row r="47" spans="1:27" ht="12" thickTop="1">
      <c r="A47" s="549" t="s">
        <v>336</v>
      </c>
      <c r="B47" s="420"/>
      <c r="C47" s="421"/>
      <c r="D47" s="421"/>
      <c r="E47" s="422"/>
      <c r="F47" s="422"/>
      <c r="G47" s="422"/>
      <c r="H47" s="422"/>
      <c r="I47" s="422"/>
      <c r="J47" s="422"/>
      <c r="K47" s="422"/>
      <c r="L47" s="422"/>
      <c r="M47" s="422"/>
      <c r="N47" s="422"/>
      <c r="O47" s="422"/>
      <c r="P47" s="422"/>
      <c r="Q47" s="422"/>
      <c r="R47" s="422"/>
      <c r="S47" s="422"/>
      <c r="T47" s="422"/>
      <c r="U47" s="422"/>
      <c r="V47" s="422"/>
      <c r="W47" s="422"/>
      <c r="X47" s="422"/>
      <c r="Y47" s="422"/>
      <c r="Z47" s="423"/>
      <c r="AA47" s="422"/>
    </row>
    <row r="48" spans="1:27" ht="12" thickBot="1">
      <c r="A48" s="413">
        <f>+A25+1</f>
        <v>2021</v>
      </c>
      <c r="E48" s="357" t="s">
        <v>469</v>
      </c>
      <c r="Z48" s="421"/>
      <c r="AA48" s="1294" t="s">
        <v>547</v>
      </c>
    </row>
    <row r="49" spans="1:34" ht="12.75" thickTop="1" thickBot="1">
      <c r="A49" s="2081" t="s">
        <v>224</v>
      </c>
      <c r="B49" s="2083" t="s">
        <v>308</v>
      </c>
      <c r="C49" s="2085" t="s">
        <v>309</v>
      </c>
      <c r="D49" s="2086"/>
      <c r="E49" s="2089" t="s">
        <v>310</v>
      </c>
      <c r="F49" s="2089"/>
      <c r="G49" s="2089"/>
      <c r="H49" s="2089"/>
      <c r="I49" s="2089"/>
      <c r="J49" s="2089"/>
      <c r="K49" s="2089"/>
      <c r="L49" s="2089"/>
      <c r="M49" s="2089"/>
      <c r="N49" s="2089"/>
      <c r="O49" s="2089"/>
      <c r="P49" s="2089"/>
      <c r="Q49" s="2089"/>
      <c r="R49" s="2089"/>
      <c r="S49" s="2089"/>
      <c r="T49" s="2089"/>
      <c r="U49" s="2089"/>
      <c r="V49" s="2089"/>
      <c r="W49" s="2089"/>
      <c r="X49" s="2089"/>
      <c r="Y49" s="2090"/>
      <c r="Z49" s="2091" t="s">
        <v>311</v>
      </c>
      <c r="AA49" s="2075" t="s">
        <v>312</v>
      </c>
    </row>
    <row r="50" spans="1:34" ht="11.25" customHeight="1">
      <c r="A50" s="2082"/>
      <c r="B50" s="2084"/>
      <c r="C50" s="2087"/>
      <c r="D50" s="2088"/>
      <c r="E50" s="2077" t="s">
        <v>313</v>
      </c>
      <c r="F50" s="2078"/>
      <c r="G50" s="2079"/>
      <c r="H50" s="2077" t="s">
        <v>210</v>
      </c>
      <c r="I50" s="2078"/>
      <c r="J50" s="2079"/>
      <c r="K50" s="2093" t="s">
        <v>338</v>
      </c>
      <c r="L50" s="2094"/>
      <c r="M50" s="2095"/>
      <c r="N50" s="2077" t="s">
        <v>337</v>
      </c>
      <c r="O50" s="2078"/>
      <c r="P50" s="2079"/>
      <c r="Q50" s="2077" t="s">
        <v>278</v>
      </c>
      <c r="R50" s="2078"/>
      <c r="S50" s="2079"/>
      <c r="T50" s="2077" t="s">
        <v>330</v>
      </c>
      <c r="U50" s="2078"/>
      <c r="V50" s="2079"/>
      <c r="W50" s="2077" t="s">
        <v>468</v>
      </c>
      <c r="X50" s="2078"/>
      <c r="Y50" s="2080"/>
      <c r="Z50" s="2092"/>
      <c r="AA50" s="2076"/>
    </row>
    <row r="51" spans="1:34" ht="33.75">
      <c r="A51" s="2082"/>
      <c r="B51" s="2084"/>
      <c r="C51" s="907" t="s">
        <v>314</v>
      </c>
      <c r="D51" s="908" t="s">
        <v>315</v>
      </c>
      <c r="E51" s="361" t="s">
        <v>316</v>
      </c>
      <c r="F51" s="362" t="s">
        <v>315</v>
      </c>
      <c r="G51" s="363" t="s">
        <v>317</v>
      </c>
      <c r="H51" s="361" t="s">
        <v>318</v>
      </c>
      <c r="I51" s="362" t="s">
        <v>315</v>
      </c>
      <c r="J51" s="363" t="s">
        <v>317</v>
      </c>
      <c r="K51" s="361" t="s">
        <v>316</v>
      </c>
      <c r="L51" s="362" t="s">
        <v>315</v>
      </c>
      <c r="M51" s="363" t="s">
        <v>317</v>
      </c>
      <c r="N51" s="361" t="s">
        <v>316</v>
      </c>
      <c r="O51" s="362" t="s">
        <v>315</v>
      </c>
      <c r="P51" s="363" t="s">
        <v>317</v>
      </c>
      <c r="Q51" s="361" t="s">
        <v>314</v>
      </c>
      <c r="R51" s="362" t="s">
        <v>315</v>
      </c>
      <c r="S51" s="363" t="s">
        <v>317</v>
      </c>
      <c r="T51" s="361" t="s">
        <v>316</v>
      </c>
      <c r="U51" s="362" t="s">
        <v>315</v>
      </c>
      <c r="V51" s="363" t="s">
        <v>317</v>
      </c>
      <c r="W51" s="361" t="s">
        <v>316</v>
      </c>
      <c r="X51" s="362" t="s">
        <v>315</v>
      </c>
      <c r="Y51" s="364" t="s">
        <v>317</v>
      </c>
      <c r="Z51" s="2092"/>
      <c r="AA51" s="2076"/>
    </row>
    <row r="52" spans="1:34" ht="12" thickBot="1">
      <c r="A52" s="553" t="s">
        <v>305</v>
      </c>
      <c r="B52" s="365">
        <v>1</v>
      </c>
      <c r="C52" s="366">
        <v>2</v>
      </c>
      <c r="D52" s="367">
        <v>3</v>
      </c>
      <c r="E52" s="368">
        <v>2</v>
      </c>
      <c r="F52" s="369">
        <v>3</v>
      </c>
      <c r="G52" s="370">
        <v>4</v>
      </c>
      <c r="H52" s="368">
        <v>5</v>
      </c>
      <c r="I52" s="369">
        <v>6</v>
      </c>
      <c r="J52" s="370">
        <v>7</v>
      </c>
      <c r="K52" s="371">
        <v>8</v>
      </c>
      <c r="L52" s="372">
        <v>9</v>
      </c>
      <c r="M52" s="370">
        <v>10</v>
      </c>
      <c r="N52" s="368">
        <v>11</v>
      </c>
      <c r="O52" s="369">
        <v>12</v>
      </c>
      <c r="P52" s="370">
        <v>13</v>
      </c>
      <c r="Q52" s="368">
        <v>14</v>
      </c>
      <c r="R52" s="369">
        <v>15</v>
      </c>
      <c r="S52" s="370">
        <v>16</v>
      </c>
      <c r="T52" s="368">
        <v>17</v>
      </c>
      <c r="U52" s="369">
        <v>18</v>
      </c>
      <c r="V52" s="370">
        <v>19</v>
      </c>
      <c r="W52" s="368">
        <v>20</v>
      </c>
      <c r="X52" s="369">
        <v>21</v>
      </c>
      <c r="Y52" s="373">
        <v>22</v>
      </c>
      <c r="Z52" s="368">
        <v>55</v>
      </c>
      <c r="AA52" s="554">
        <v>23</v>
      </c>
    </row>
    <row r="53" spans="1:34">
      <c r="A53" s="555"/>
      <c r="B53" s="374"/>
      <c r="C53" s="375"/>
      <c r="D53" s="376"/>
      <c r="E53" s="377"/>
      <c r="F53" s="378"/>
      <c r="G53" s="379"/>
      <c r="H53" s="377"/>
      <c r="I53" s="378"/>
      <c r="J53" s="379"/>
      <c r="K53" s="380"/>
      <c r="L53" s="381"/>
      <c r="M53" s="379"/>
      <c r="N53" s="377"/>
      <c r="O53" s="378"/>
      <c r="P53" s="379"/>
      <c r="Q53" s="377"/>
      <c r="R53" s="378"/>
      <c r="S53" s="379"/>
      <c r="T53" s="377"/>
      <c r="U53" s="378"/>
      <c r="V53" s="379"/>
      <c r="W53" s="377"/>
      <c r="X53" s="378"/>
      <c r="Y53" s="382"/>
      <c r="Z53" s="377"/>
      <c r="AA53" s="556"/>
    </row>
    <row r="54" spans="1:34">
      <c r="A54" s="557" t="s">
        <v>306</v>
      </c>
      <c r="B54" s="383" t="e">
        <f>B55+B58</f>
        <v>#REF!</v>
      </c>
      <c r="C54" s="384"/>
      <c r="D54" s="385"/>
      <c r="E54" s="386">
        <f t="shared" ref="E54:Y54" si="34">E55+E58</f>
        <v>0</v>
      </c>
      <c r="F54" s="387" t="e">
        <f t="shared" si="34"/>
        <v>#REF!</v>
      </c>
      <c r="G54" s="389" t="e">
        <f t="shared" si="34"/>
        <v>#REF!</v>
      </c>
      <c r="H54" s="386">
        <f t="shared" si="34"/>
        <v>15.5</v>
      </c>
      <c r="I54" s="387" t="e">
        <f t="shared" si="34"/>
        <v>#REF!</v>
      </c>
      <c r="J54" s="389" t="e">
        <f t="shared" si="34"/>
        <v>#DIV/0!</v>
      </c>
      <c r="K54" s="386">
        <f t="shared" si="34"/>
        <v>3.9400000000000008</v>
      </c>
      <c r="L54" s="387" t="e">
        <f t="shared" si="34"/>
        <v>#REF!</v>
      </c>
      <c r="M54" s="389" t="e">
        <f t="shared" si="34"/>
        <v>#REF!</v>
      </c>
      <c r="N54" s="386">
        <f t="shared" si="34"/>
        <v>0.36</v>
      </c>
      <c r="O54" s="387" t="e">
        <f t="shared" si="34"/>
        <v>#REF!</v>
      </c>
      <c r="P54" s="389" t="e">
        <f t="shared" si="34"/>
        <v>#REF!</v>
      </c>
      <c r="Q54" s="386">
        <f t="shared" si="34"/>
        <v>0</v>
      </c>
      <c r="R54" s="387" t="e">
        <f t="shared" si="34"/>
        <v>#REF!</v>
      </c>
      <c r="S54" s="389">
        <f t="shared" si="34"/>
        <v>0</v>
      </c>
      <c r="T54" s="386">
        <f t="shared" si="34"/>
        <v>0.3</v>
      </c>
      <c r="U54" s="387" t="e">
        <f t="shared" si="34"/>
        <v>#REF!</v>
      </c>
      <c r="V54" s="389" t="e">
        <f t="shared" si="34"/>
        <v>#REF!</v>
      </c>
      <c r="W54" s="386">
        <f t="shared" si="34"/>
        <v>0</v>
      </c>
      <c r="X54" s="387" t="e">
        <f t="shared" si="34"/>
        <v>#REF!</v>
      </c>
      <c r="Y54" s="416" t="e">
        <f t="shared" si="34"/>
        <v>#REF!</v>
      </c>
      <c r="Z54" s="386">
        <f>Z55+Z58</f>
        <v>0</v>
      </c>
      <c r="AA54" s="558" t="e">
        <f>AA55+AA58</f>
        <v>#REF!</v>
      </c>
    </row>
    <row r="55" spans="1:34" ht="21">
      <c r="A55" s="559" t="s">
        <v>319</v>
      </c>
      <c r="B55" s="393" t="e">
        <f>SUM(B56:B57)</f>
        <v>#REF!</v>
      </c>
      <c r="C55" s="394">
        <f t="shared" ref="C55:Z55" si="35">SUM(C56:C57)</f>
        <v>2.96</v>
      </c>
      <c r="D55" s="395" t="e">
        <f t="shared" si="35"/>
        <v>#REF!</v>
      </c>
      <c r="E55" s="396">
        <f t="shared" si="35"/>
        <v>0</v>
      </c>
      <c r="F55" s="397" t="e">
        <f t="shared" si="35"/>
        <v>#REF!</v>
      </c>
      <c r="G55" s="402" t="e">
        <f t="shared" si="35"/>
        <v>#REF!</v>
      </c>
      <c r="H55" s="396">
        <f>SUM(H56:H57)</f>
        <v>2</v>
      </c>
      <c r="I55" s="397" t="e">
        <f t="shared" si="35"/>
        <v>#REF!</v>
      </c>
      <c r="J55" s="402" t="e">
        <f t="shared" si="35"/>
        <v>#DIV/0!</v>
      </c>
      <c r="K55" s="396">
        <f t="shared" si="35"/>
        <v>0.6</v>
      </c>
      <c r="L55" s="397" t="e">
        <f t="shared" si="35"/>
        <v>#REF!</v>
      </c>
      <c r="M55" s="402" t="e">
        <f t="shared" si="35"/>
        <v>#REF!</v>
      </c>
      <c r="N55" s="396">
        <f t="shared" si="35"/>
        <v>0.36</v>
      </c>
      <c r="O55" s="397" t="e">
        <f t="shared" si="35"/>
        <v>#REF!</v>
      </c>
      <c r="P55" s="402" t="e">
        <f t="shared" si="35"/>
        <v>#REF!</v>
      </c>
      <c r="Q55" s="396">
        <f t="shared" si="35"/>
        <v>0</v>
      </c>
      <c r="R55" s="397" t="e">
        <f t="shared" si="35"/>
        <v>#REF!</v>
      </c>
      <c r="S55" s="402">
        <f t="shared" si="35"/>
        <v>0</v>
      </c>
      <c r="T55" s="396">
        <f t="shared" si="35"/>
        <v>0</v>
      </c>
      <c r="U55" s="397" t="e">
        <f t="shared" si="35"/>
        <v>#REF!</v>
      </c>
      <c r="V55" s="402" t="e">
        <f t="shared" si="35"/>
        <v>#REF!</v>
      </c>
      <c r="W55" s="396">
        <f t="shared" si="35"/>
        <v>0</v>
      </c>
      <c r="X55" s="397" t="e">
        <f t="shared" si="35"/>
        <v>#REF!</v>
      </c>
      <c r="Y55" s="417" t="e">
        <f t="shared" si="35"/>
        <v>#REF!</v>
      </c>
      <c r="Z55" s="396">
        <f t="shared" si="35"/>
        <v>0</v>
      </c>
      <c r="AA55" s="560" t="e">
        <f>SUM(AA56:AA57)</f>
        <v>#REF!</v>
      </c>
      <c r="AD55" s="2074" t="s">
        <v>77</v>
      </c>
      <c r="AE55" s="2074"/>
      <c r="AF55" s="2074"/>
      <c r="AG55" s="2074"/>
      <c r="AH55" s="2074"/>
    </row>
    <row r="56" spans="1:34">
      <c r="A56" s="561" t="s">
        <v>244</v>
      </c>
      <c r="B56" s="403" t="e">
        <f>'3-10.ДПЖ'!AA55</f>
        <v>#REF!</v>
      </c>
      <c r="C56" s="1354">
        <f t="shared" ref="C56:C57" si="36">+E56+H56+K56+N56+T56</f>
        <v>0</v>
      </c>
      <c r="D56" s="1355" t="e">
        <f t="shared" ref="D56:D57" si="37">+F56+I56+L56+O56+U56</f>
        <v>#REF!</v>
      </c>
      <c r="E56" s="404"/>
      <c r="F56" s="405" t="e">
        <f>E56*B56</f>
        <v>#REF!</v>
      </c>
      <c r="G56" s="406" t="e">
        <f t="shared" ref="G56:G57" si="38">F56*20</f>
        <v>#REF!</v>
      </c>
      <c r="H56" s="404"/>
      <c r="I56" s="405"/>
      <c r="J56" s="406" t="e">
        <f>I56*Затраты!X$23</f>
        <v>#DIV/0!</v>
      </c>
      <c r="K56" s="407"/>
      <c r="L56" s="405" t="e">
        <f>B56*K56</f>
        <v>#REF!</v>
      </c>
      <c r="M56" s="406" t="e">
        <f>L56*Затраты!X$24</f>
        <v>#REF!</v>
      </c>
      <c r="N56" s="408"/>
      <c r="O56" s="405" t="e">
        <f>B56*N56</f>
        <v>#REF!</v>
      </c>
      <c r="P56" s="406" t="e">
        <f>O56*Затраты!X$25</f>
        <v>#REF!</v>
      </c>
      <c r="Q56" s="408"/>
      <c r="R56" s="405" t="e">
        <f>B56*Q56</f>
        <v>#REF!</v>
      </c>
      <c r="S56" s="406"/>
      <c r="T56" s="408"/>
      <c r="U56" s="405" t="e">
        <f>B56*T56</f>
        <v>#REF!</v>
      </c>
      <c r="V56" s="406" t="e">
        <f>U56*20</f>
        <v>#REF!</v>
      </c>
      <c r="W56" s="408"/>
      <c r="X56" s="405" t="e">
        <f>B56*W56</f>
        <v>#REF!</v>
      </c>
      <c r="Y56" s="409" t="e">
        <f>X56*15</f>
        <v>#REF!</v>
      </c>
      <c r="Z56" s="419"/>
      <c r="AA56" s="562" t="e">
        <f>G56+J56+P56+S56+V56+Y56+Z56+M56</f>
        <v>#REF!</v>
      </c>
    </row>
    <row r="57" spans="1:34">
      <c r="A57" s="561" t="s">
        <v>260</v>
      </c>
      <c r="B57" s="403" t="e">
        <f>'3-10.ДПЖ'!AA56</f>
        <v>#REF!</v>
      </c>
      <c r="C57" s="1354">
        <f t="shared" si="36"/>
        <v>2.96</v>
      </c>
      <c r="D57" s="1355" t="e">
        <f t="shared" si="37"/>
        <v>#REF!</v>
      </c>
      <c r="E57" s="404"/>
      <c r="F57" s="405" t="e">
        <f>E57*B57</f>
        <v>#REF!</v>
      </c>
      <c r="G57" s="406" t="e">
        <f t="shared" si="38"/>
        <v>#REF!</v>
      </c>
      <c r="H57" s="404">
        <v>2</v>
      </c>
      <c r="I57" s="405" t="e">
        <f>B57*H57</f>
        <v>#REF!</v>
      </c>
      <c r="J57" s="406" t="e">
        <f>I57*Затраты!X$23</f>
        <v>#REF!</v>
      </c>
      <c r="K57" s="407">
        <v>0.6</v>
      </c>
      <c r="L57" s="405" t="e">
        <f>B57*K57</f>
        <v>#REF!</v>
      </c>
      <c r="M57" s="406" t="e">
        <f>L57*Затраты!X$24</f>
        <v>#REF!</v>
      </c>
      <c r="N57" s="408">
        <v>0.36</v>
      </c>
      <c r="O57" s="405" t="e">
        <f>B57*N57</f>
        <v>#REF!</v>
      </c>
      <c r="P57" s="406" t="e">
        <f>O57*Затраты!X$25</f>
        <v>#REF!</v>
      </c>
      <c r="Q57" s="408"/>
      <c r="R57" s="405" t="e">
        <f>B57*Q57</f>
        <v>#REF!</v>
      </c>
      <c r="S57" s="406"/>
      <c r="T57" s="408"/>
      <c r="U57" s="405" t="e">
        <f>B57*T57</f>
        <v>#REF!</v>
      </c>
      <c r="V57" s="406" t="e">
        <f>U57*20</f>
        <v>#REF!</v>
      </c>
      <c r="W57" s="408"/>
      <c r="X57" s="405" t="e">
        <f>B57*W57</f>
        <v>#REF!</v>
      </c>
      <c r="Y57" s="409" t="e">
        <f>X57*15</f>
        <v>#REF!</v>
      </c>
      <c r="Z57" s="419"/>
      <c r="AA57" s="562" t="e">
        <f>G57+J57+P57+S57+V57+Y57+Z57+M57</f>
        <v>#REF!</v>
      </c>
    </row>
    <row r="58" spans="1:34" ht="21">
      <c r="A58" s="559" t="s">
        <v>320</v>
      </c>
      <c r="B58" s="393" t="e">
        <f>SUM(B59:B69)</f>
        <v>#REF!</v>
      </c>
      <c r="C58" s="394">
        <f t="shared" ref="C58:AA58" si="39">SUM(C59:C69)</f>
        <v>17.14</v>
      </c>
      <c r="D58" s="395" t="e">
        <f t="shared" si="39"/>
        <v>#REF!</v>
      </c>
      <c r="E58" s="396">
        <f t="shared" si="39"/>
        <v>0</v>
      </c>
      <c r="F58" s="397" t="e">
        <f t="shared" si="39"/>
        <v>#REF!</v>
      </c>
      <c r="G58" s="398" t="e">
        <f t="shared" si="39"/>
        <v>#REF!</v>
      </c>
      <c r="H58" s="396">
        <f t="shared" si="39"/>
        <v>13.5</v>
      </c>
      <c r="I58" s="397" t="e">
        <f t="shared" si="39"/>
        <v>#REF!</v>
      </c>
      <c r="J58" s="402" t="e">
        <f t="shared" si="39"/>
        <v>#REF!</v>
      </c>
      <c r="K58" s="396">
        <f t="shared" si="39"/>
        <v>3.3400000000000007</v>
      </c>
      <c r="L58" s="397" t="e">
        <f t="shared" si="39"/>
        <v>#REF!</v>
      </c>
      <c r="M58" s="402" t="e">
        <f t="shared" si="39"/>
        <v>#REF!</v>
      </c>
      <c r="N58" s="396">
        <f t="shared" si="39"/>
        <v>0</v>
      </c>
      <c r="O58" s="397" t="e">
        <f t="shared" si="39"/>
        <v>#REF!</v>
      </c>
      <c r="P58" s="402" t="e">
        <f t="shared" si="39"/>
        <v>#REF!</v>
      </c>
      <c r="Q58" s="396">
        <f t="shared" si="39"/>
        <v>0</v>
      </c>
      <c r="R58" s="397" t="e">
        <f t="shared" si="39"/>
        <v>#REF!</v>
      </c>
      <c r="S58" s="402">
        <f t="shared" si="39"/>
        <v>0</v>
      </c>
      <c r="T58" s="396">
        <f t="shared" si="39"/>
        <v>0.3</v>
      </c>
      <c r="U58" s="397" t="e">
        <f t="shared" si="39"/>
        <v>#REF!</v>
      </c>
      <c r="V58" s="402" t="e">
        <f t="shared" si="39"/>
        <v>#REF!</v>
      </c>
      <c r="W58" s="396">
        <f t="shared" si="39"/>
        <v>0</v>
      </c>
      <c r="X58" s="397" t="e">
        <f t="shared" si="39"/>
        <v>#REF!</v>
      </c>
      <c r="Y58" s="417" t="e">
        <f t="shared" si="39"/>
        <v>#REF!</v>
      </c>
      <c r="Z58" s="396">
        <f t="shared" si="39"/>
        <v>0</v>
      </c>
      <c r="AA58" s="560" t="e">
        <f t="shared" si="39"/>
        <v>#REF!</v>
      </c>
    </row>
    <row r="59" spans="1:34">
      <c r="A59" s="563" t="s">
        <v>258</v>
      </c>
      <c r="B59" s="411" t="e">
        <f>'3-10.ДПЖ'!AA57</f>
        <v>#REF!</v>
      </c>
      <c r="C59" s="1354">
        <f t="shared" ref="C59:C69" si="40">+E59+H59+K59+N59+T59</f>
        <v>2</v>
      </c>
      <c r="D59" s="1355" t="e">
        <f t="shared" ref="D59:D69" si="41">+F59+I59+L59+O59+U59</f>
        <v>#REF!</v>
      </c>
      <c r="E59" s="404"/>
      <c r="F59" s="405" t="e">
        <f>E59*B59</f>
        <v>#REF!</v>
      </c>
      <c r="G59" s="406" t="e">
        <f t="shared" ref="G59:G69" si="42">F59*20</f>
        <v>#REF!</v>
      </c>
      <c r="H59" s="404">
        <v>2</v>
      </c>
      <c r="I59" s="405" t="e">
        <f>B59*H59</f>
        <v>#REF!</v>
      </c>
      <c r="J59" s="406" t="e">
        <f>I59*Затраты!X$23</f>
        <v>#REF!</v>
      </c>
      <c r="K59" s="408"/>
      <c r="L59" s="405" t="e">
        <f>B59*K59</f>
        <v>#REF!</v>
      </c>
      <c r="M59" s="406" t="e">
        <f>L59*Затраты!X$24</f>
        <v>#REF!</v>
      </c>
      <c r="N59" s="408"/>
      <c r="O59" s="405" t="e">
        <f>B59*N59</f>
        <v>#REF!</v>
      </c>
      <c r="P59" s="406" t="e">
        <f>O59*Затраты!X$25</f>
        <v>#REF!</v>
      </c>
      <c r="Q59" s="408"/>
      <c r="R59" s="405" t="e">
        <f>B59*Q59</f>
        <v>#REF!</v>
      </c>
      <c r="S59" s="406"/>
      <c r="T59" s="408"/>
      <c r="U59" s="405" t="e">
        <f>B59*T59</f>
        <v>#REF!</v>
      </c>
      <c r="V59" s="406" t="e">
        <f>U59*20</f>
        <v>#REF!</v>
      </c>
      <c r="W59" s="408"/>
      <c r="X59" s="405" t="e">
        <f>B59*W59</f>
        <v>#REF!</v>
      </c>
      <c r="Y59" s="409" t="e">
        <f>X59*15</f>
        <v>#REF!</v>
      </c>
      <c r="Z59" s="410"/>
      <c r="AA59" s="562" t="e">
        <f t="shared" ref="AA59:AA69" si="43">G59+J59+P59+S59+V59+Y59+Z59+M59</f>
        <v>#REF!</v>
      </c>
    </row>
    <row r="60" spans="1:34">
      <c r="A60" s="563" t="s">
        <v>261</v>
      </c>
      <c r="B60" s="411" t="e">
        <f>'3-10.ДПЖ'!AA58</f>
        <v>#REF!</v>
      </c>
      <c r="C60" s="1354">
        <f t="shared" si="40"/>
        <v>3.1</v>
      </c>
      <c r="D60" s="1355" t="e">
        <f t="shared" si="41"/>
        <v>#REF!</v>
      </c>
      <c r="E60" s="404"/>
      <c r="F60" s="405" t="e">
        <f t="shared" ref="F60:F69" si="44">E60*B60</f>
        <v>#REF!</v>
      </c>
      <c r="G60" s="406" t="e">
        <f t="shared" si="42"/>
        <v>#REF!</v>
      </c>
      <c r="H60" s="404">
        <v>2.5</v>
      </c>
      <c r="I60" s="405" t="e">
        <f t="shared" ref="I60:I67" si="45">B60*H60</f>
        <v>#REF!</v>
      </c>
      <c r="J60" s="406" t="e">
        <f>I60*Затраты!X$23</f>
        <v>#REF!</v>
      </c>
      <c r="K60" s="408">
        <v>0.6</v>
      </c>
      <c r="L60" s="405" t="e">
        <f t="shared" ref="L60:L69" si="46">B60*K60</f>
        <v>#REF!</v>
      </c>
      <c r="M60" s="406" t="e">
        <f>L60*Затраты!X$24</f>
        <v>#REF!</v>
      </c>
      <c r="N60" s="408"/>
      <c r="O60" s="405" t="e">
        <f t="shared" ref="O60:O69" si="47">B60*N60</f>
        <v>#REF!</v>
      </c>
      <c r="P60" s="406" t="e">
        <f>O60*Затраты!X$25</f>
        <v>#REF!</v>
      </c>
      <c r="Q60" s="408"/>
      <c r="R60" s="405" t="e">
        <f t="shared" ref="R60:R69" si="48">B60*Q60</f>
        <v>#REF!</v>
      </c>
      <c r="S60" s="406"/>
      <c r="T60" s="408"/>
      <c r="U60" s="405" t="e">
        <f t="shared" ref="U60:U69" si="49">B60*T60</f>
        <v>#REF!</v>
      </c>
      <c r="V60" s="406" t="e">
        <f t="shared" ref="V60:V67" si="50">U60*20</f>
        <v>#REF!</v>
      </c>
      <c r="W60" s="408"/>
      <c r="X60" s="405" t="e">
        <f t="shared" ref="X60:X69" si="51">B60*W60</f>
        <v>#REF!</v>
      </c>
      <c r="Y60" s="409" t="e">
        <f t="shared" ref="Y60:Y69" si="52">X60*15</f>
        <v>#REF!</v>
      </c>
      <c r="Z60" s="410"/>
      <c r="AA60" s="562" t="e">
        <f t="shared" si="43"/>
        <v>#REF!</v>
      </c>
    </row>
    <row r="61" spans="1:34">
      <c r="A61" s="563" t="s">
        <v>263</v>
      </c>
      <c r="B61" s="411" t="e">
        <f>'3-10.ДПЖ'!AA59</f>
        <v>#REF!</v>
      </c>
      <c r="C61" s="1354">
        <f t="shared" si="40"/>
        <v>2.4</v>
      </c>
      <c r="D61" s="1355" t="e">
        <f t="shared" si="41"/>
        <v>#REF!</v>
      </c>
      <c r="E61" s="404"/>
      <c r="F61" s="405" t="e">
        <f t="shared" si="44"/>
        <v>#REF!</v>
      </c>
      <c r="G61" s="406" t="e">
        <f t="shared" si="42"/>
        <v>#REF!</v>
      </c>
      <c r="H61" s="404">
        <v>2</v>
      </c>
      <c r="I61" s="405" t="e">
        <f t="shared" si="45"/>
        <v>#REF!</v>
      </c>
      <c r="J61" s="406" t="e">
        <f>I61*Затраты!X$23</f>
        <v>#REF!</v>
      </c>
      <c r="K61" s="408">
        <v>0.4</v>
      </c>
      <c r="L61" s="405" t="e">
        <f t="shared" si="46"/>
        <v>#REF!</v>
      </c>
      <c r="M61" s="406" t="e">
        <f>L61*Затраты!X$24</f>
        <v>#REF!</v>
      </c>
      <c r="N61" s="408"/>
      <c r="O61" s="405" t="e">
        <f t="shared" si="47"/>
        <v>#REF!</v>
      </c>
      <c r="P61" s="406" t="e">
        <f>O61*Затраты!X$25</f>
        <v>#REF!</v>
      </c>
      <c r="Q61" s="408"/>
      <c r="R61" s="405" t="e">
        <f t="shared" si="48"/>
        <v>#REF!</v>
      </c>
      <c r="S61" s="406"/>
      <c r="T61" s="408"/>
      <c r="U61" s="405" t="e">
        <f t="shared" si="49"/>
        <v>#REF!</v>
      </c>
      <c r="V61" s="406" t="e">
        <f t="shared" si="50"/>
        <v>#REF!</v>
      </c>
      <c r="W61" s="408"/>
      <c r="X61" s="405" t="e">
        <f t="shared" si="51"/>
        <v>#REF!</v>
      </c>
      <c r="Y61" s="409" t="e">
        <f t="shared" si="52"/>
        <v>#REF!</v>
      </c>
      <c r="Z61" s="410"/>
      <c r="AA61" s="562" t="e">
        <f t="shared" si="43"/>
        <v>#REF!</v>
      </c>
    </row>
    <row r="62" spans="1:34">
      <c r="A62" s="563" t="s">
        <v>264</v>
      </c>
      <c r="B62" s="411" t="e">
        <f>'3-10.ДПЖ'!AA60</f>
        <v>#REF!</v>
      </c>
      <c r="C62" s="1354">
        <f t="shared" si="40"/>
        <v>1.9500000000000002</v>
      </c>
      <c r="D62" s="1355" t="e">
        <f t="shared" si="41"/>
        <v>#REF!</v>
      </c>
      <c r="E62" s="404"/>
      <c r="F62" s="405" t="e">
        <f t="shared" si="44"/>
        <v>#REF!</v>
      </c>
      <c r="G62" s="406" t="e">
        <f t="shared" si="42"/>
        <v>#REF!</v>
      </c>
      <c r="H62" s="404">
        <v>1.6</v>
      </c>
      <c r="I62" s="405" t="e">
        <f t="shared" si="45"/>
        <v>#REF!</v>
      </c>
      <c r="J62" s="406" t="e">
        <f>I62*Затраты!X$23</f>
        <v>#REF!</v>
      </c>
      <c r="K62" s="408">
        <v>0.35</v>
      </c>
      <c r="L62" s="405" t="e">
        <f t="shared" si="46"/>
        <v>#REF!</v>
      </c>
      <c r="M62" s="406" t="e">
        <f>L62*Затраты!X$24</f>
        <v>#REF!</v>
      </c>
      <c r="N62" s="408"/>
      <c r="O62" s="405" t="e">
        <f t="shared" si="47"/>
        <v>#REF!</v>
      </c>
      <c r="P62" s="406" t="e">
        <f>O62*Затраты!X$25</f>
        <v>#REF!</v>
      </c>
      <c r="Q62" s="408"/>
      <c r="R62" s="405" t="e">
        <f t="shared" si="48"/>
        <v>#REF!</v>
      </c>
      <c r="S62" s="406"/>
      <c r="T62" s="408"/>
      <c r="U62" s="405" t="e">
        <f t="shared" si="49"/>
        <v>#REF!</v>
      </c>
      <c r="V62" s="406" t="e">
        <f t="shared" si="50"/>
        <v>#REF!</v>
      </c>
      <c r="W62" s="408"/>
      <c r="X62" s="405" t="e">
        <f t="shared" si="51"/>
        <v>#REF!</v>
      </c>
      <c r="Y62" s="409" t="e">
        <f t="shared" si="52"/>
        <v>#REF!</v>
      </c>
      <c r="Z62" s="410"/>
      <c r="AA62" s="562" t="e">
        <f t="shared" si="43"/>
        <v>#REF!</v>
      </c>
    </row>
    <row r="63" spans="1:34">
      <c r="A63" s="563" t="s">
        <v>267</v>
      </c>
      <c r="B63" s="411" t="e">
        <f>'3-10.ДПЖ'!AA61</f>
        <v>#REF!</v>
      </c>
      <c r="C63" s="1354">
        <f t="shared" si="40"/>
        <v>1.9500000000000002</v>
      </c>
      <c r="D63" s="1355" t="e">
        <f t="shared" si="41"/>
        <v>#REF!</v>
      </c>
      <c r="E63" s="404"/>
      <c r="F63" s="405" t="e">
        <f t="shared" si="44"/>
        <v>#REF!</v>
      </c>
      <c r="G63" s="406" t="e">
        <f t="shared" si="42"/>
        <v>#REF!</v>
      </c>
      <c r="H63" s="404">
        <v>1.6</v>
      </c>
      <c r="I63" s="405" t="e">
        <f t="shared" si="45"/>
        <v>#REF!</v>
      </c>
      <c r="J63" s="406" t="e">
        <f>I63*Затраты!X$23</f>
        <v>#REF!</v>
      </c>
      <c r="K63" s="408">
        <v>0.35</v>
      </c>
      <c r="L63" s="405" t="e">
        <f t="shared" si="46"/>
        <v>#REF!</v>
      </c>
      <c r="M63" s="406" t="e">
        <f>L63*Затраты!X$24</f>
        <v>#REF!</v>
      </c>
      <c r="N63" s="408"/>
      <c r="O63" s="405" t="e">
        <f t="shared" si="47"/>
        <v>#REF!</v>
      </c>
      <c r="P63" s="406" t="e">
        <f>O63*Затраты!X$25</f>
        <v>#REF!</v>
      </c>
      <c r="Q63" s="408"/>
      <c r="R63" s="405" t="e">
        <f t="shared" si="48"/>
        <v>#REF!</v>
      </c>
      <c r="S63" s="406"/>
      <c r="T63" s="408"/>
      <c r="U63" s="405" t="e">
        <f t="shared" si="49"/>
        <v>#REF!</v>
      </c>
      <c r="V63" s="406" t="e">
        <f t="shared" si="50"/>
        <v>#REF!</v>
      </c>
      <c r="W63" s="408"/>
      <c r="X63" s="405" t="e">
        <f t="shared" si="51"/>
        <v>#REF!</v>
      </c>
      <c r="Y63" s="409" t="e">
        <f t="shared" si="52"/>
        <v>#REF!</v>
      </c>
      <c r="Z63" s="410"/>
      <c r="AA63" s="562" t="e">
        <f t="shared" si="43"/>
        <v>#REF!</v>
      </c>
    </row>
    <row r="64" spans="1:34">
      <c r="A64" s="563" t="s">
        <v>265</v>
      </c>
      <c r="B64" s="411" t="e">
        <f>'3-10.ДПЖ'!AA62</f>
        <v>#REF!</v>
      </c>
      <c r="C64" s="1354">
        <f t="shared" si="40"/>
        <v>1.5</v>
      </c>
      <c r="D64" s="1355" t="e">
        <f t="shared" si="41"/>
        <v>#REF!</v>
      </c>
      <c r="E64" s="404"/>
      <c r="F64" s="405" t="e">
        <f t="shared" si="44"/>
        <v>#REF!</v>
      </c>
      <c r="G64" s="406" t="e">
        <f t="shared" si="42"/>
        <v>#REF!</v>
      </c>
      <c r="H64" s="404">
        <v>1.2</v>
      </c>
      <c r="I64" s="405" t="e">
        <f t="shared" si="45"/>
        <v>#REF!</v>
      </c>
      <c r="J64" s="406" t="e">
        <f>I64*Затраты!X$23</f>
        <v>#REF!</v>
      </c>
      <c r="K64" s="408">
        <v>0.3</v>
      </c>
      <c r="L64" s="405" t="e">
        <f t="shared" si="46"/>
        <v>#REF!</v>
      </c>
      <c r="M64" s="406" t="e">
        <f>L64*Затраты!X$24</f>
        <v>#REF!</v>
      </c>
      <c r="N64" s="408"/>
      <c r="O64" s="405" t="e">
        <f t="shared" si="47"/>
        <v>#REF!</v>
      </c>
      <c r="P64" s="406" t="e">
        <f>O64*Затраты!X$25</f>
        <v>#REF!</v>
      </c>
      <c r="Q64" s="408"/>
      <c r="R64" s="405" t="e">
        <f t="shared" si="48"/>
        <v>#REF!</v>
      </c>
      <c r="S64" s="406"/>
      <c r="T64" s="408"/>
      <c r="U64" s="405" t="e">
        <f t="shared" si="49"/>
        <v>#REF!</v>
      </c>
      <c r="V64" s="406" t="e">
        <f t="shared" si="50"/>
        <v>#REF!</v>
      </c>
      <c r="W64" s="408"/>
      <c r="X64" s="405" t="e">
        <f t="shared" si="51"/>
        <v>#REF!</v>
      </c>
      <c r="Y64" s="409" t="e">
        <f t="shared" si="52"/>
        <v>#REF!</v>
      </c>
      <c r="Z64" s="410"/>
      <c r="AA64" s="562" t="e">
        <f t="shared" si="43"/>
        <v>#REF!</v>
      </c>
    </row>
    <row r="65" spans="1:34">
      <c r="A65" s="563" t="s">
        <v>268</v>
      </c>
      <c r="B65" s="411" t="e">
        <f>'3-10.ДПЖ'!AA63</f>
        <v>#REF!</v>
      </c>
      <c r="C65" s="1354">
        <f t="shared" si="40"/>
        <v>1.5</v>
      </c>
      <c r="D65" s="1355" t="e">
        <f t="shared" si="41"/>
        <v>#REF!</v>
      </c>
      <c r="E65" s="404"/>
      <c r="F65" s="405" t="e">
        <f t="shared" si="44"/>
        <v>#REF!</v>
      </c>
      <c r="G65" s="406" t="e">
        <f t="shared" si="42"/>
        <v>#REF!</v>
      </c>
      <c r="H65" s="404">
        <v>1.2</v>
      </c>
      <c r="I65" s="405" t="e">
        <f t="shared" si="45"/>
        <v>#REF!</v>
      </c>
      <c r="J65" s="406" t="e">
        <f>I65*Затраты!X$23</f>
        <v>#REF!</v>
      </c>
      <c r="K65" s="408">
        <v>0.3</v>
      </c>
      <c r="L65" s="405" t="e">
        <f t="shared" si="46"/>
        <v>#REF!</v>
      </c>
      <c r="M65" s="406" t="e">
        <f>L65*Затраты!X$24</f>
        <v>#REF!</v>
      </c>
      <c r="N65" s="408"/>
      <c r="O65" s="405" t="e">
        <f t="shared" si="47"/>
        <v>#REF!</v>
      </c>
      <c r="P65" s="406" t="e">
        <f>O65*Затраты!X$25</f>
        <v>#REF!</v>
      </c>
      <c r="Q65" s="408"/>
      <c r="R65" s="405" t="e">
        <f t="shared" si="48"/>
        <v>#REF!</v>
      </c>
      <c r="S65" s="406"/>
      <c r="T65" s="408"/>
      <c r="U65" s="405" t="e">
        <f t="shared" si="49"/>
        <v>#REF!</v>
      </c>
      <c r="V65" s="406" t="e">
        <f t="shared" si="50"/>
        <v>#REF!</v>
      </c>
      <c r="W65" s="408"/>
      <c r="X65" s="405" t="e">
        <f t="shared" si="51"/>
        <v>#REF!</v>
      </c>
      <c r="Y65" s="409" t="e">
        <f t="shared" si="52"/>
        <v>#REF!</v>
      </c>
      <c r="Z65" s="410"/>
      <c r="AA65" s="562" t="e">
        <f t="shared" si="43"/>
        <v>#REF!</v>
      </c>
    </row>
    <row r="66" spans="1:34">
      <c r="A66" s="563" t="s">
        <v>266</v>
      </c>
      <c r="B66" s="411" t="e">
        <f>'3-10.ДПЖ'!AA64</f>
        <v>#REF!</v>
      </c>
      <c r="C66" s="1354">
        <f t="shared" si="40"/>
        <v>0.68</v>
      </c>
      <c r="D66" s="1355" t="e">
        <f t="shared" si="41"/>
        <v>#REF!</v>
      </c>
      <c r="E66" s="404"/>
      <c r="F66" s="405" t="e">
        <f t="shared" si="44"/>
        <v>#REF!</v>
      </c>
      <c r="G66" s="406" t="e">
        <f t="shared" si="42"/>
        <v>#REF!</v>
      </c>
      <c r="H66" s="404">
        <v>0.4</v>
      </c>
      <c r="I66" s="405" t="e">
        <f t="shared" si="45"/>
        <v>#REF!</v>
      </c>
      <c r="J66" s="406" t="e">
        <f>I66*Затраты!X$23</f>
        <v>#REF!</v>
      </c>
      <c r="K66" s="408">
        <v>0.28000000000000003</v>
      </c>
      <c r="L66" s="405" t="e">
        <f t="shared" si="46"/>
        <v>#REF!</v>
      </c>
      <c r="M66" s="406" t="e">
        <f>L66*Затраты!X$24</f>
        <v>#REF!</v>
      </c>
      <c r="N66" s="408"/>
      <c r="O66" s="405" t="e">
        <f t="shared" si="47"/>
        <v>#REF!</v>
      </c>
      <c r="P66" s="406" t="e">
        <f>O66*Затраты!X$25</f>
        <v>#REF!</v>
      </c>
      <c r="Q66" s="408"/>
      <c r="R66" s="405" t="e">
        <f t="shared" si="48"/>
        <v>#REF!</v>
      </c>
      <c r="S66" s="406"/>
      <c r="T66" s="408"/>
      <c r="U66" s="405" t="e">
        <f t="shared" si="49"/>
        <v>#REF!</v>
      </c>
      <c r="V66" s="406" t="e">
        <f t="shared" si="50"/>
        <v>#REF!</v>
      </c>
      <c r="W66" s="408"/>
      <c r="X66" s="405" t="e">
        <f t="shared" si="51"/>
        <v>#REF!</v>
      </c>
      <c r="Y66" s="409" t="e">
        <f t="shared" si="52"/>
        <v>#REF!</v>
      </c>
      <c r="Z66" s="410"/>
      <c r="AA66" s="562" t="e">
        <f t="shared" si="43"/>
        <v>#REF!</v>
      </c>
    </row>
    <row r="67" spans="1:34">
      <c r="A67" s="563" t="s">
        <v>269</v>
      </c>
      <c r="B67" s="411" t="e">
        <f>'3-10.ДПЖ'!AA65</f>
        <v>#REF!</v>
      </c>
      <c r="C67" s="1354">
        <f t="shared" si="40"/>
        <v>0.68</v>
      </c>
      <c r="D67" s="1355" t="e">
        <f t="shared" si="41"/>
        <v>#REF!</v>
      </c>
      <c r="E67" s="404"/>
      <c r="F67" s="405" t="e">
        <f t="shared" si="44"/>
        <v>#REF!</v>
      </c>
      <c r="G67" s="406" t="e">
        <f t="shared" si="42"/>
        <v>#REF!</v>
      </c>
      <c r="H67" s="404">
        <v>0.4</v>
      </c>
      <c r="I67" s="405" t="e">
        <f t="shared" si="45"/>
        <v>#REF!</v>
      </c>
      <c r="J67" s="406" t="e">
        <f>I67*Затраты!X$23</f>
        <v>#REF!</v>
      </c>
      <c r="K67" s="408">
        <v>0.28000000000000003</v>
      </c>
      <c r="L67" s="405" t="e">
        <f t="shared" si="46"/>
        <v>#REF!</v>
      </c>
      <c r="M67" s="406" t="e">
        <f>L67*Затраты!X$24</f>
        <v>#REF!</v>
      </c>
      <c r="N67" s="408"/>
      <c r="O67" s="405" t="e">
        <f t="shared" si="47"/>
        <v>#REF!</v>
      </c>
      <c r="P67" s="406" t="e">
        <f>O67*Затраты!X$25</f>
        <v>#REF!</v>
      </c>
      <c r="Q67" s="408"/>
      <c r="R67" s="405" t="e">
        <f t="shared" si="48"/>
        <v>#REF!</v>
      </c>
      <c r="S67" s="406"/>
      <c r="T67" s="408"/>
      <c r="U67" s="405" t="e">
        <f t="shared" si="49"/>
        <v>#REF!</v>
      </c>
      <c r="V67" s="406" t="e">
        <f t="shared" si="50"/>
        <v>#REF!</v>
      </c>
      <c r="W67" s="408"/>
      <c r="X67" s="405" t="e">
        <f t="shared" si="51"/>
        <v>#REF!</v>
      </c>
      <c r="Y67" s="409" t="e">
        <f t="shared" si="52"/>
        <v>#REF!</v>
      </c>
      <c r="Z67" s="410"/>
      <c r="AA67" s="562" t="e">
        <f t="shared" si="43"/>
        <v>#REF!</v>
      </c>
    </row>
    <row r="68" spans="1:34">
      <c r="A68" s="564" t="s">
        <v>270</v>
      </c>
      <c r="B68" s="411" t="e">
        <f>'3-10.ДПЖ'!AA66</f>
        <v>#REF!</v>
      </c>
      <c r="C68" s="1354">
        <f t="shared" si="40"/>
        <v>0.69000000000000006</v>
      </c>
      <c r="D68" s="1355" t="e">
        <f t="shared" si="41"/>
        <v>#REF!</v>
      </c>
      <c r="E68" s="404"/>
      <c r="F68" s="405" t="e">
        <f t="shared" si="44"/>
        <v>#REF!</v>
      </c>
      <c r="G68" s="406" t="e">
        <f t="shared" si="42"/>
        <v>#REF!</v>
      </c>
      <c r="H68" s="404">
        <v>0.3</v>
      </c>
      <c r="I68" s="405" t="e">
        <f>B68*H68</f>
        <v>#REF!</v>
      </c>
      <c r="J68" s="406" t="e">
        <f>I68*Затраты!X$23</f>
        <v>#REF!</v>
      </c>
      <c r="K68" s="408">
        <v>0.24</v>
      </c>
      <c r="L68" s="405" t="e">
        <f t="shared" si="46"/>
        <v>#REF!</v>
      </c>
      <c r="M68" s="406" t="e">
        <f>L68*Затраты!X$24</f>
        <v>#REF!</v>
      </c>
      <c r="N68" s="408"/>
      <c r="O68" s="405" t="e">
        <f t="shared" si="47"/>
        <v>#REF!</v>
      </c>
      <c r="P68" s="406" t="e">
        <f>O68*Затраты!X$25</f>
        <v>#REF!</v>
      </c>
      <c r="Q68" s="408"/>
      <c r="R68" s="405" t="e">
        <f t="shared" si="48"/>
        <v>#REF!</v>
      </c>
      <c r="S68" s="406"/>
      <c r="T68" s="408">
        <v>0.15</v>
      </c>
      <c r="U68" s="405" t="e">
        <f t="shared" si="49"/>
        <v>#REF!</v>
      </c>
      <c r="V68" s="406" t="e">
        <f>+U68*45</f>
        <v>#REF!</v>
      </c>
      <c r="W68" s="408"/>
      <c r="X68" s="405" t="e">
        <f t="shared" si="51"/>
        <v>#REF!</v>
      </c>
      <c r="Y68" s="409" t="e">
        <f t="shared" si="52"/>
        <v>#REF!</v>
      </c>
      <c r="Z68" s="412"/>
      <c r="AA68" s="562" t="e">
        <f t="shared" si="43"/>
        <v>#REF!</v>
      </c>
    </row>
    <row r="69" spans="1:34" ht="12" thickBot="1">
      <c r="A69" s="565" t="s">
        <v>272</v>
      </c>
      <c r="B69" s="566" t="e">
        <f>'3-10.ДПЖ'!AA67</f>
        <v>#REF!</v>
      </c>
      <c r="C69" s="1356">
        <f t="shared" si="40"/>
        <v>0.69000000000000006</v>
      </c>
      <c r="D69" s="1357" t="e">
        <f t="shared" si="41"/>
        <v>#REF!</v>
      </c>
      <c r="E69" s="567"/>
      <c r="F69" s="570" t="e">
        <f t="shared" si="44"/>
        <v>#REF!</v>
      </c>
      <c r="G69" s="569" t="e">
        <f t="shared" si="42"/>
        <v>#REF!</v>
      </c>
      <c r="H69" s="567">
        <v>0.3</v>
      </c>
      <c r="I69" s="570" t="e">
        <f>B69*H69</f>
        <v>#REF!</v>
      </c>
      <c r="J69" s="569" t="e">
        <f>I69*Затраты!X$23</f>
        <v>#REF!</v>
      </c>
      <c r="K69" s="571">
        <v>0.24</v>
      </c>
      <c r="L69" s="570" t="e">
        <f t="shared" si="46"/>
        <v>#REF!</v>
      </c>
      <c r="M69" s="569" t="e">
        <f>L69*Затраты!X$24</f>
        <v>#REF!</v>
      </c>
      <c r="N69" s="571"/>
      <c r="O69" s="570" t="e">
        <f t="shared" si="47"/>
        <v>#REF!</v>
      </c>
      <c r="P69" s="569" t="e">
        <f>O69*Затраты!X$25</f>
        <v>#REF!</v>
      </c>
      <c r="Q69" s="571"/>
      <c r="R69" s="570" t="e">
        <f t="shared" si="48"/>
        <v>#REF!</v>
      </c>
      <c r="S69" s="569"/>
      <c r="T69" s="571">
        <v>0.15</v>
      </c>
      <c r="U69" s="570" t="e">
        <f t="shared" si="49"/>
        <v>#REF!</v>
      </c>
      <c r="V69" s="569" t="e">
        <f>+U69*45</f>
        <v>#REF!</v>
      </c>
      <c r="W69" s="571"/>
      <c r="X69" s="570" t="e">
        <f t="shared" si="51"/>
        <v>#REF!</v>
      </c>
      <c r="Y69" s="572" t="e">
        <f t="shared" si="52"/>
        <v>#REF!</v>
      </c>
      <c r="Z69" s="573"/>
      <c r="AA69" s="574" t="e">
        <f t="shared" si="43"/>
        <v>#REF!</v>
      </c>
    </row>
    <row r="70" spans="1:34" ht="12" thickTop="1">
      <c r="A70" s="549" t="s">
        <v>336</v>
      </c>
      <c r="B70" s="420"/>
      <c r="C70" s="421"/>
      <c r="D70" s="421"/>
      <c r="E70" s="422"/>
      <c r="F70" s="422"/>
      <c r="G70" s="422"/>
      <c r="H70" s="422"/>
      <c r="I70" s="422"/>
      <c r="J70" s="422"/>
      <c r="K70" s="422"/>
      <c r="L70" s="422"/>
      <c r="M70" s="422"/>
      <c r="N70" s="422"/>
      <c r="O70" s="422"/>
      <c r="P70" s="422"/>
      <c r="Q70" s="422"/>
      <c r="R70" s="422"/>
      <c r="S70" s="422"/>
      <c r="T70" s="422"/>
      <c r="U70" s="422"/>
      <c r="V70" s="422"/>
      <c r="W70" s="422"/>
      <c r="X70" s="422"/>
      <c r="Y70" s="422"/>
      <c r="Z70" s="423"/>
      <c r="AA70" s="422"/>
    </row>
    <row r="71" spans="1:34" ht="12" thickBot="1">
      <c r="A71" s="413">
        <f>+A48+1</f>
        <v>2022</v>
      </c>
      <c r="E71" s="357" t="s">
        <v>469</v>
      </c>
      <c r="AA71" s="1294" t="s">
        <v>548</v>
      </c>
    </row>
    <row r="72" spans="1:34" ht="12.75" thickTop="1" thickBot="1">
      <c r="A72" s="2081" t="s">
        <v>224</v>
      </c>
      <c r="B72" s="2083" t="s">
        <v>308</v>
      </c>
      <c r="C72" s="2085" t="s">
        <v>309</v>
      </c>
      <c r="D72" s="2086"/>
      <c r="E72" s="2089" t="s">
        <v>310</v>
      </c>
      <c r="F72" s="2089"/>
      <c r="G72" s="2089"/>
      <c r="H72" s="2089"/>
      <c r="I72" s="2089"/>
      <c r="J72" s="2089"/>
      <c r="K72" s="2089"/>
      <c r="L72" s="2089"/>
      <c r="M72" s="2089"/>
      <c r="N72" s="2089"/>
      <c r="O72" s="2089"/>
      <c r="P72" s="2089"/>
      <c r="Q72" s="2089"/>
      <c r="R72" s="2089"/>
      <c r="S72" s="2089"/>
      <c r="T72" s="2089"/>
      <c r="U72" s="2089"/>
      <c r="V72" s="2089"/>
      <c r="W72" s="2089"/>
      <c r="X72" s="2089"/>
      <c r="Y72" s="2090"/>
      <c r="Z72" s="2091" t="s">
        <v>311</v>
      </c>
      <c r="AA72" s="2075" t="s">
        <v>312</v>
      </c>
    </row>
    <row r="73" spans="1:34" ht="11.25" customHeight="1">
      <c r="A73" s="2082"/>
      <c r="B73" s="2084"/>
      <c r="C73" s="2087"/>
      <c r="D73" s="2088"/>
      <c r="E73" s="2077" t="s">
        <v>313</v>
      </c>
      <c r="F73" s="2078"/>
      <c r="G73" s="2079"/>
      <c r="H73" s="2077" t="s">
        <v>210</v>
      </c>
      <c r="I73" s="2078"/>
      <c r="J73" s="2079"/>
      <c r="K73" s="2093" t="s">
        <v>338</v>
      </c>
      <c r="L73" s="2094"/>
      <c r="M73" s="2095"/>
      <c r="N73" s="2077" t="s">
        <v>337</v>
      </c>
      <c r="O73" s="2078"/>
      <c r="P73" s="2079"/>
      <c r="Q73" s="2077" t="s">
        <v>278</v>
      </c>
      <c r="R73" s="2078"/>
      <c r="S73" s="2079"/>
      <c r="T73" s="2077" t="s">
        <v>330</v>
      </c>
      <c r="U73" s="2078"/>
      <c r="V73" s="2079"/>
      <c r="W73" s="2077" t="s">
        <v>468</v>
      </c>
      <c r="X73" s="2078"/>
      <c r="Y73" s="2080"/>
      <c r="Z73" s="2092"/>
      <c r="AA73" s="2076"/>
    </row>
    <row r="74" spans="1:34" ht="33.75">
      <c r="A74" s="2082"/>
      <c r="B74" s="2084"/>
      <c r="C74" s="907" t="s">
        <v>314</v>
      </c>
      <c r="D74" s="908" t="s">
        <v>315</v>
      </c>
      <c r="E74" s="361" t="s">
        <v>316</v>
      </c>
      <c r="F74" s="362" t="s">
        <v>315</v>
      </c>
      <c r="G74" s="363" t="s">
        <v>317</v>
      </c>
      <c r="H74" s="361" t="s">
        <v>318</v>
      </c>
      <c r="I74" s="362" t="s">
        <v>315</v>
      </c>
      <c r="J74" s="363" t="s">
        <v>317</v>
      </c>
      <c r="K74" s="361" t="s">
        <v>316</v>
      </c>
      <c r="L74" s="362" t="s">
        <v>315</v>
      </c>
      <c r="M74" s="363" t="s">
        <v>317</v>
      </c>
      <c r="N74" s="361" t="s">
        <v>316</v>
      </c>
      <c r="O74" s="362" t="s">
        <v>315</v>
      </c>
      <c r="P74" s="363" t="s">
        <v>317</v>
      </c>
      <c r="Q74" s="361" t="s">
        <v>314</v>
      </c>
      <c r="R74" s="362" t="s">
        <v>315</v>
      </c>
      <c r="S74" s="363" t="s">
        <v>317</v>
      </c>
      <c r="T74" s="361" t="s">
        <v>316</v>
      </c>
      <c r="U74" s="362" t="s">
        <v>315</v>
      </c>
      <c r="V74" s="363" t="s">
        <v>317</v>
      </c>
      <c r="W74" s="361" t="s">
        <v>316</v>
      </c>
      <c r="X74" s="362" t="s">
        <v>315</v>
      </c>
      <c r="Y74" s="364" t="s">
        <v>317</v>
      </c>
      <c r="Z74" s="2092"/>
      <c r="AA74" s="2076"/>
    </row>
    <row r="75" spans="1:34" ht="12" thickBot="1">
      <c r="A75" s="553" t="s">
        <v>305</v>
      </c>
      <c r="B75" s="365">
        <v>1</v>
      </c>
      <c r="C75" s="366">
        <v>2</v>
      </c>
      <c r="D75" s="367">
        <v>3</v>
      </c>
      <c r="E75" s="368">
        <v>2</v>
      </c>
      <c r="F75" s="369">
        <v>3</v>
      </c>
      <c r="G75" s="370">
        <v>4</v>
      </c>
      <c r="H75" s="368">
        <v>5</v>
      </c>
      <c r="I75" s="369">
        <v>6</v>
      </c>
      <c r="J75" s="370">
        <v>7</v>
      </c>
      <c r="K75" s="371">
        <v>8</v>
      </c>
      <c r="L75" s="372">
        <v>9</v>
      </c>
      <c r="M75" s="370">
        <v>10</v>
      </c>
      <c r="N75" s="368">
        <v>11</v>
      </c>
      <c r="O75" s="369">
        <v>12</v>
      </c>
      <c r="P75" s="370">
        <v>13</v>
      </c>
      <c r="Q75" s="368">
        <v>14</v>
      </c>
      <c r="R75" s="369">
        <v>15</v>
      </c>
      <c r="S75" s="370">
        <v>16</v>
      </c>
      <c r="T75" s="368">
        <v>17</v>
      </c>
      <c r="U75" s="369">
        <v>18</v>
      </c>
      <c r="V75" s="370">
        <v>19</v>
      </c>
      <c r="W75" s="368">
        <v>20</v>
      </c>
      <c r="X75" s="369">
        <v>21</v>
      </c>
      <c r="Y75" s="373">
        <v>22</v>
      </c>
      <c r="Z75" s="368">
        <v>55</v>
      </c>
      <c r="AA75" s="554">
        <v>23</v>
      </c>
    </row>
    <row r="76" spans="1:34">
      <c r="A76" s="575"/>
      <c r="B76" s="424"/>
      <c r="C76" s="425"/>
      <c r="D76" s="426"/>
      <c r="E76" s="377"/>
      <c r="F76" s="378"/>
      <c r="G76" s="379"/>
      <c r="H76" s="377"/>
      <c r="I76" s="378"/>
      <c r="J76" s="379"/>
      <c r="K76" s="380"/>
      <c r="L76" s="381"/>
      <c r="M76" s="379"/>
      <c r="N76" s="377"/>
      <c r="O76" s="378"/>
      <c r="P76" s="379"/>
      <c r="Q76" s="377"/>
      <c r="R76" s="378"/>
      <c r="S76" s="379"/>
      <c r="T76" s="377"/>
      <c r="U76" s="378"/>
      <c r="V76" s="379"/>
      <c r="W76" s="427"/>
      <c r="X76" s="428"/>
      <c r="Y76" s="429"/>
      <c r="Z76" s="427"/>
      <c r="AA76" s="576"/>
    </row>
    <row r="77" spans="1:34">
      <c r="A77" s="557" t="s">
        <v>306</v>
      </c>
      <c r="B77" s="383" t="e">
        <f>B78+B81</f>
        <v>#REF!</v>
      </c>
      <c r="C77" s="384"/>
      <c r="D77" s="385"/>
      <c r="E77" s="386">
        <f t="shared" ref="E77:Y77" si="53">E78+E81</f>
        <v>0</v>
      </c>
      <c r="F77" s="387" t="e">
        <f t="shared" si="53"/>
        <v>#REF!</v>
      </c>
      <c r="G77" s="389" t="e">
        <f t="shared" si="53"/>
        <v>#REF!</v>
      </c>
      <c r="H77" s="386">
        <f t="shared" si="53"/>
        <v>15.5</v>
      </c>
      <c r="I77" s="387" t="e">
        <f t="shared" si="53"/>
        <v>#REF!</v>
      </c>
      <c r="J77" s="389" t="e">
        <f t="shared" si="53"/>
        <v>#DIV/0!</v>
      </c>
      <c r="K77" s="386">
        <f t="shared" si="53"/>
        <v>3.9400000000000008</v>
      </c>
      <c r="L77" s="387" t="e">
        <f t="shared" si="53"/>
        <v>#REF!</v>
      </c>
      <c r="M77" s="389" t="e">
        <f t="shared" si="53"/>
        <v>#REF!</v>
      </c>
      <c r="N77" s="386">
        <f t="shared" si="53"/>
        <v>0.36</v>
      </c>
      <c r="O77" s="387" t="e">
        <f t="shared" si="53"/>
        <v>#REF!</v>
      </c>
      <c r="P77" s="389" t="e">
        <f t="shared" si="53"/>
        <v>#REF!</v>
      </c>
      <c r="Q77" s="386">
        <f t="shared" si="53"/>
        <v>0</v>
      </c>
      <c r="R77" s="387" t="e">
        <f t="shared" si="53"/>
        <v>#REF!</v>
      </c>
      <c r="S77" s="389">
        <f t="shared" si="53"/>
        <v>0</v>
      </c>
      <c r="T77" s="386">
        <f t="shared" si="53"/>
        <v>0.3</v>
      </c>
      <c r="U77" s="387" t="e">
        <f t="shared" si="53"/>
        <v>#REF!</v>
      </c>
      <c r="V77" s="389" t="e">
        <f t="shared" si="53"/>
        <v>#REF!</v>
      </c>
      <c r="W77" s="386">
        <f t="shared" si="53"/>
        <v>0</v>
      </c>
      <c r="X77" s="387" t="e">
        <f t="shared" si="53"/>
        <v>#REF!</v>
      </c>
      <c r="Y77" s="416" t="e">
        <f t="shared" si="53"/>
        <v>#REF!</v>
      </c>
      <c r="Z77" s="386">
        <f>Z78+Z81</f>
        <v>0</v>
      </c>
      <c r="AA77" s="558" t="e">
        <f>AA78+AA81</f>
        <v>#REF!</v>
      </c>
    </row>
    <row r="78" spans="1:34" ht="21">
      <c r="A78" s="559" t="s">
        <v>319</v>
      </c>
      <c r="B78" s="393" t="e">
        <f>SUM(B79:B80)</f>
        <v>#REF!</v>
      </c>
      <c r="C78" s="394">
        <f t="shared" ref="C78:G78" si="54">SUM(C79:C80)</f>
        <v>2.96</v>
      </c>
      <c r="D78" s="395" t="e">
        <f t="shared" si="54"/>
        <v>#REF!</v>
      </c>
      <c r="E78" s="396">
        <f t="shared" si="54"/>
        <v>0</v>
      </c>
      <c r="F78" s="397" t="e">
        <f t="shared" si="54"/>
        <v>#REF!</v>
      </c>
      <c r="G78" s="402" t="e">
        <f t="shared" si="54"/>
        <v>#REF!</v>
      </c>
      <c r="H78" s="396">
        <f>SUM(H79:H80)</f>
        <v>2</v>
      </c>
      <c r="I78" s="397" t="e">
        <f t="shared" ref="I78:Z78" si="55">SUM(I79:I80)</f>
        <v>#REF!</v>
      </c>
      <c r="J78" s="402" t="e">
        <f t="shared" si="55"/>
        <v>#DIV/0!</v>
      </c>
      <c r="K78" s="396">
        <f t="shared" si="55"/>
        <v>0.6</v>
      </c>
      <c r="L78" s="397" t="e">
        <f t="shared" si="55"/>
        <v>#REF!</v>
      </c>
      <c r="M78" s="402" t="e">
        <f t="shared" si="55"/>
        <v>#REF!</v>
      </c>
      <c r="N78" s="396">
        <f t="shared" si="55"/>
        <v>0.36</v>
      </c>
      <c r="O78" s="397" t="e">
        <f t="shared" si="55"/>
        <v>#REF!</v>
      </c>
      <c r="P78" s="402" t="e">
        <f t="shared" si="55"/>
        <v>#REF!</v>
      </c>
      <c r="Q78" s="396">
        <f t="shared" si="55"/>
        <v>0</v>
      </c>
      <c r="R78" s="397" t="e">
        <f t="shared" si="55"/>
        <v>#REF!</v>
      </c>
      <c r="S78" s="402">
        <f t="shared" si="55"/>
        <v>0</v>
      </c>
      <c r="T78" s="396">
        <f t="shared" si="55"/>
        <v>0</v>
      </c>
      <c r="U78" s="397" t="e">
        <f t="shared" si="55"/>
        <v>#REF!</v>
      </c>
      <c r="V78" s="402" t="e">
        <f t="shared" si="55"/>
        <v>#REF!</v>
      </c>
      <c r="W78" s="396">
        <f t="shared" si="55"/>
        <v>0</v>
      </c>
      <c r="X78" s="397" t="e">
        <f t="shared" si="55"/>
        <v>#REF!</v>
      </c>
      <c r="Y78" s="417" t="e">
        <f t="shared" si="55"/>
        <v>#REF!</v>
      </c>
      <c r="Z78" s="396">
        <f t="shared" si="55"/>
        <v>0</v>
      </c>
      <c r="AA78" s="560" t="e">
        <f>SUM(AA79:AA80)</f>
        <v>#REF!</v>
      </c>
      <c r="AD78" s="2074" t="s">
        <v>77</v>
      </c>
      <c r="AE78" s="2074"/>
      <c r="AF78" s="2074"/>
      <c r="AG78" s="2074"/>
      <c r="AH78" s="2074"/>
    </row>
    <row r="79" spans="1:34">
      <c r="A79" s="561" t="s">
        <v>244</v>
      </c>
      <c r="B79" s="403" t="e">
        <f>'3-10.ДПЖ'!AA78</f>
        <v>#REF!</v>
      </c>
      <c r="C79" s="1354">
        <f t="shared" ref="C79:C80" si="56">+E79+H79+K79+N79+T79</f>
        <v>0</v>
      </c>
      <c r="D79" s="1355" t="e">
        <f t="shared" ref="D79:D80" si="57">+F79+I79+L79+O79+U79</f>
        <v>#REF!</v>
      </c>
      <c r="E79" s="404"/>
      <c r="F79" s="405" t="e">
        <f>E79*B79</f>
        <v>#REF!</v>
      </c>
      <c r="G79" s="406" t="e">
        <f t="shared" ref="G79:G80" si="58">F79*20</f>
        <v>#REF!</v>
      </c>
      <c r="H79" s="404"/>
      <c r="I79" s="405"/>
      <c r="J79" s="406" t="e">
        <f>I79*Затраты!X$32</f>
        <v>#DIV/0!</v>
      </c>
      <c r="K79" s="407"/>
      <c r="L79" s="405" t="e">
        <f>B79*K79</f>
        <v>#REF!</v>
      </c>
      <c r="M79" s="406" t="e">
        <f>L79*Затраты!X$33</f>
        <v>#REF!</v>
      </c>
      <c r="N79" s="408"/>
      <c r="O79" s="405" t="e">
        <f>B79*N79</f>
        <v>#REF!</v>
      </c>
      <c r="P79" s="406" t="e">
        <f>O79*Затраты!X$34</f>
        <v>#REF!</v>
      </c>
      <c r="Q79" s="408"/>
      <c r="R79" s="405" t="e">
        <f>B79*Q79</f>
        <v>#REF!</v>
      </c>
      <c r="S79" s="406"/>
      <c r="T79" s="408"/>
      <c r="U79" s="405" t="e">
        <f>B79*T79</f>
        <v>#REF!</v>
      </c>
      <c r="V79" s="406" t="e">
        <f>U79*20</f>
        <v>#REF!</v>
      </c>
      <c r="W79" s="408"/>
      <c r="X79" s="405" t="e">
        <f>B79*W79</f>
        <v>#REF!</v>
      </c>
      <c r="Y79" s="409" t="e">
        <f>X79*15</f>
        <v>#REF!</v>
      </c>
      <c r="Z79" s="419"/>
      <c r="AA79" s="562" t="e">
        <f>G79+J79+P79+S79+V79+Y79+Z79+M79</f>
        <v>#REF!</v>
      </c>
    </row>
    <row r="80" spans="1:34">
      <c r="A80" s="561" t="s">
        <v>260</v>
      </c>
      <c r="B80" s="403" t="e">
        <f>'3-10.ДПЖ'!AA79</f>
        <v>#REF!</v>
      </c>
      <c r="C80" s="1354">
        <f t="shared" si="56"/>
        <v>2.96</v>
      </c>
      <c r="D80" s="1355" t="e">
        <f t="shared" si="57"/>
        <v>#REF!</v>
      </c>
      <c r="E80" s="404"/>
      <c r="F80" s="405" t="e">
        <f>E80*B80</f>
        <v>#REF!</v>
      </c>
      <c r="G80" s="406" t="e">
        <f t="shared" si="58"/>
        <v>#REF!</v>
      </c>
      <c r="H80" s="404">
        <v>2</v>
      </c>
      <c r="I80" s="405" t="e">
        <f>B80*H80</f>
        <v>#REF!</v>
      </c>
      <c r="J80" s="406" t="e">
        <f>I80*Затраты!X$32</f>
        <v>#REF!</v>
      </c>
      <c r="K80" s="407">
        <v>0.6</v>
      </c>
      <c r="L80" s="405" t="e">
        <f>B80*K80</f>
        <v>#REF!</v>
      </c>
      <c r="M80" s="406" t="e">
        <f>L80*Затраты!X$33</f>
        <v>#REF!</v>
      </c>
      <c r="N80" s="408">
        <v>0.36</v>
      </c>
      <c r="O80" s="405" t="e">
        <f>B80*N80</f>
        <v>#REF!</v>
      </c>
      <c r="P80" s="406" t="e">
        <f>O80*Затраты!X$34</f>
        <v>#REF!</v>
      </c>
      <c r="Q80" s="408"/>
      <c r="R80" s="405" t="e">
        <f>B80*Q80</f>
        <v>#REF!</v>
      </c>
      <c r="S80" s="406"/>
      <c r="T80" s="408"/>
      <c r="U80" s="405" t="e">
        <f>B80*T80</f>
        <v>#REF!</v>
      </c>
      <c r="V80" s="406" t="e">
        <f>U80*20</f>
        <v>#REF!</v>
      </c>
      <c r="W80" s="408"/>
      <c r="X80" s="405" t="e">
        <f>B80*W80</f>
        <v>#REF!</v>
      </c>
      <c r="Y80" s="409" t="e">
        <f>X80*15</f>
        <v>#REF!</v>
      </c>
      <c r="Z80" s="419"/>
      <c r="AA80" s="562" t="e">
        <f>G80+J80+P80+S80+V80+Y80+Z80+M80</f>
        <v>#REF!</v>
      </c>
    </row>
    <row r="81" spans="1:27" ht="21">
      <c r="A81" s="559" t="s">
        <v>320</v>
      </c>
      <c r="B81" s="393" t="e">
        <f>SUM(B82:B92)</f>
        <v>#REF!</v>
      </c>
      <c r="C81" s="394">
        <f t="shared" ref="C81:AA81" si="59">SUM(C82:C92)</f>
        <v>17.14</v>
      </c>
      <c r="D81" s="395" t="e">
        <f t="shared" si="59"/>
        <v>#REF!</v>
      </c>
      <c r="E81" s="396">
        <f t="shared" si="59"/>
        <v>0</v>
      </c>
      <c r="F81" s="397" t="e">
        <f t="shared" si="59"/>
        <v>#REF!</v>
      </c>
      <c r="G81" s="398" t="e">
        <f t="shared" si="59"/>
        <v>#REF!</v>
      </c>
      <c r="H81" s="396">
        <f t="shared" si="59"/>
        <v>13.5</v>
      </c>
      <c r="I81" s="397" t="e">
        <f t="shared" si="59"/>
        <v>#REF!</v>
      </c>
      <c r="J81" s="402" t="e">
        <f t="shared" si="59"/>
        <v>#REF!</v>
      </c>
      <c r="K81" s="396">
        <f t="shared" si="59"/>
        <v>3.3400000000000007</v>
      </c>
      <c r="L81" s="397" t="e">
        <f t="shared" si="59"/>
        <v>#REF!</v>
      </c>
      <c r="M81" s="402" t="e">
        <f t="shared" si="59"/>
        <v>#REF!</v>
      </c>
      <c r="N81" s="396">
        <f t="shared" si="59"/>
        <v>0</v>
      </c>
      <c r="O81" s="397" t="e">
        <f t="shared" si="59"/>
        <v>#REF!</v>
      </c>
      <c r="P81" s="402" t="e">
        <f t="shared" si="59"/>
        <v>#REF!</v>
      </c>
      <c r="Q81" s="396">
        <f t="shared" si="59"/>
        <v>0</v>
      </c>
      <c r="R81" s="397" t="e">
        <f t="shared" si="59"/>
        <v>#REF!</v>
      </c>
      <c r="S81" s="402">
        <f t="shared" si="59"/>
        <v>0</v>
      </c>
      <c r="T81" s="396">
        <f t="shared" si="59"/>
        <v>0.3</v>
      </c>
      <c r="U81" s="397" t="e">
        <f t="shared" si="59"/>
        <v>#REF!</v>
      </c>
      <c r="V81" s="402" t="e">
        <f t="shared" si="59"/>
        <v>#REF!</v>
      </c>
      <c r="W81" s="396">
        <f t="shared" si="59"/>
        <v>0</v>
      </c>
      <c r="X81" s="397" t="e">
        <f t="shared" si="59"/>
        <v>#REF!</v>
      </c>
      <c r="Y81" s="417" t="e">
        <f t="shared" si="59"/>
        <v>#REF!</v>
      </c>
      <c r="Z81" s="396">
        <f t="shared" si="59"/>
        <v>0</v>
      </c>
      <c r="AA81" s="560" t="e">
        <f t="shared" si="59"/>
        <v>#REF!</v>
      </c>
    </row>
    <row r="82" spans="1:27">
      <c r="A82" s="563" t="s">
        <v>258</v>
      </c>
      <c r="B82" s="411" t="e">
        <f>'3-10.ДПЖ'!AA80</f>
        <v>#REF!</v>
      </c>
      <c r="C82" s="1354">
        <f t="shared" ref="C82:C92" si="60">+E82+H82+K82+N82+T82</f>
        <v>2</v>
      </c>
      <c r="D82" s="1355" t="e">
        <f t="shared" ref="D82:D92" si="61">+F82+I82+L82+O82+U82</f>
        <v>#REF!</v>
      </c>
      <c r="E82" s="404"/>
      <c r="F82" s="405" t="e">
        <f>E82*B82</f>
        <v>#REF!</v>
      </c>
      <c r="G82" s="406" t="e">
        <f t="shared" ref="G82:G92" si="62">F82*20</f>
        <v>#REF!</v>
      </c>
      <c r="H82" s="404">
        <v>2</v>
      </c>
      <c r="I82" s="405" t="e">
        <f>B82*H82</f>
        <v>#REF!</v>
      </c>
      <c r="J82" s="406" t="e">
        <f>I82*Затраты!X$32</f>
        <v>#REF!</v>
      </c>
      <c r="K82" s="408"/>
      <c r="L82" s="405" t="e">
        <f>B82*K82</f>
        <v>#REF!</v>
      </c>
      <c r="M82" s="406" t="e">
        <f>L82*Затраты!X$33</f>
        <v>#REF!</v>
      </c>
      <c r="N82" s="408"/>
      <c r="O82" s="405" t="e">
        <f>B82*N82</f>
        <v>#REF!</v>
      </c>
      <c r="P82" s="406" t="e">
        <f>O82*Затраты!X$34</f>
        <v>#REF!</v>
      </c>
      <c r="Q82" s="408"/>
      <c r="R82" s="405" t="e">
        <f>B82*Q82</f>
        <v>#REF!</v>
      </c>
      <c r="S82" s="406"/>
      <c r="T82" s="408"/>
      <c r="U82" s="405" t="e">
        <f>B82*T82</f>
        <v>#REF!</v>
      </c>
      <c r="V82" s="406" t="e">
        <f>U82*20</f>
        <v>#REF!</v>
      </c>
      <c r="W82" s="408"/>
      <c r="X82" s="405" t="e">
        <f>B82*W82</f>
        <v>#REF!</v>
      </c>
      <c r="Y82" s="409" t="e">
        <f>X82*15</f>
        <v>#REF!</v>
      </c>
      <c r="Z82" s="410"/>
      <c r="AA82" s="562" t="e">
        <f t="shared" ref="AA82:AA92" si="63">G82+J82+P82+S82+V82+Y82+Z82+M82</f>
        <v>#REF!</v>
      </c>
    </row>
    <row r="83" spans="1:27">
      <c r="A83" s="563" t="s">
        <v>261</v>
      </c>
      <c r="B83" s="411" t="e">
        <f>'3-10.ДПЖ'!AA81</f>
        <v>#REF!</v>
      </c>
      <c r="C83" s="1354">
        <f t="shared" si="60"/>
        <v>3.1</v>
      </c>
      <c r="D83" s="1355" t="e">
        <f t="shared" si="61"/>
        <v>#REF!</v>
      </c>
      <c r="E83" s="404"/>
      <c r="F83" s="405" t="e">
        <f t="shared" ref="F83:F92" si="64">E83*B83</f>
        <v>#REF!</v>
      </c>
      <c r="G83" s="406" t="e">
        <f t="shared" si="62"/>
        <v>#REF!</v>
      </c>
      <c r="H83" s="404">
        <v>2.5</v>
      </c>
      <c r="I83" s="405" t="e">
        <f t="shared" ref="I83:I90" si="65">B83*H83</f>
        <v>#REF!</v>
      </c>
      <c r="J83" s="406" t="e">
        <f>I83*Затраты!X$32</f>
        <v>#REF!</v>
      </c>
      <c r="K83" s="408">
        <v>0.6</v>
      </c>
      <c r="L83" s="405" t="e">
        <f t="shared" ref="L83:L92" si="66">B83*K83</f>
        <v>#REF!</v>
      </c>
      <c r="M83" s="406" t="e">
        <f>L83*Затраты!X$33</f>
        <v>#REF!</v>
      </c>
      <c r="N83" s="408"/>
      <c r="O83" s="405" t="e">
        <f t="shared" ref="O83:O92" si="67">B83*N83</f>
        <v>#REF!</v>
      </c>
      <c r="P83" s="406" t="e">
        <f>O83*Затраты!X$34</f>
        <v>#REF!</v>
      </c>
      <c r="Q83" s="408"/>
      <c r="R83" s="405" t="e">
        <f t="shared" ref="R83:R92" si="68">B83*Q83</f>
        <v>#REF!</v>
      </c>
      <c r="S83" s="406"/>
      <c r="T83" s="408"/>
      <c r="U83" s="405" t="e">
        <f t="shared" ref="U83:U92" si="69">B83*T83</f>
        <v>#REF!</v>
      </c>
      <c r="V83" s="406" t="e">
        <f t="shared" ref="V83:V90" si="70">U83*20</f>
        <v>#REF!</v>
      </c>
      <c r="W83" s="408"/>
      <c r="X83" s="405" t="e">
        <f t="shared" ref="X83:X92" si="71">B83*W83</f>
        <v>#REF!</v>
      </c>
      <c r="Y83" s="409" t="e">
        <f t="shared" ref="Y83:Y92" si="72">X83*15</f>
        <v>#REF!</v>
      </c>
      <c r="Z83" s="410"/>
      <c r="AA83" s="562" t="e">
        <f t="shared" si="63"/>
        <v>#REF!</v>
      </c>
    </row>
    <row r="84" spans="1:27">
      <c r="A84" s="563" t="s">
        <v>263</v>
      </c>
      <c r="B84" s="411" t="e">
        <f>'3-10.ДПЖ'!AA82</f>
        <v>#REF!</v>
      </c>
      <c r="C84" s="1354">
        <f t="shared" si="60"/>
        <v>2.4</v>
      </c>
      <c r="D84" s="1355" t="e">
        <f t="shared" si="61"/>
        <v>#REF!</v>
      </c>
      <c r="E84" s="404"/>
      <c r="F84" s="405" t="e">
        <f t="shared" si="64"/>
        <v>#REF!</v>
      </c>
      <c r="G84" s="406" t="e">
        <f t="shared" si="62"/>
        <v>#REF!</v>
      </c>
      <c r="H84" s="404">
        <v>2</v>
      </c>
      <c r="I84" s="405" t="e">
        <f t="shared" si="65"/>
        <v>#REF!</v>
      </c>
      <c r="J84" s="406" t="e">
        <f>I84*Затраты!X$32</f>
        <v>#REF!</v>
      </c>
      <c r="K84" s="408">
        <v>0.4</v>
      </c>
      <c r="L84" s="405" t="e">
        <f t="shared" si="66"/>
        <v>#REF!</v>
      </c>
      <c r="M84" s="406" t="e">
        <f>L84*Затраты!X$33</f>
        <v>#REF!</v>
      </c>
      <c r="N84" s="408"/>
      <c r="O84" s="405" t="e">
        <f t="shared" si="67"/>
        <v>#REF!</v>
      </c>
      <c r="P84" s="406" t="e">
        <f>O84*Затраты!X$34</f>
        <v>#REF!</v>
      </c>
      <c r="Q84" s="408"/>
      <c r="R84" s="405" t="e">
        <f t="shared" si="68"/>
        <v>#REF!</v>
      </c>
      <c r="S84" s="406"/>
      <c r="T84" s="408"/>
      <c r="U84" s="405" t="e">
        <f t="shared" si="69"/>
        <v>#REF!</v>
      </c>
      <c r="V84" s="406" t="e">
        <f t="shared" si="70"/>
        <v>#REF!</v>
      </c>
      <c r="W84" s="408"/>
      <c r="X84" s="405" t="e">
        <f t="shared" si="71"/>
        <v>#REF!</v>
      </c>
      <c r="Y84" s="409" t="e">
        <f t="shared" si="72"/>
        <v>#REF!</v>
      </c>
      <c r="Z84" s="410"/>
      <c r="AA84" s="562" t="e">
        <f t="shared" si="63"/>
        <v>#REF!</v>
      </c>
    </row>
    <row r="85" spans="1:27">
      <c r="A85" s="563" t="s">
        <v>264</v>
      </c>
      <c r="B85" s="411" t="e">
        <f>'3-10.ДПЖ'!AA83</f>
        <v>#REF!</v>
      </c>
      <c r="C85" s="1354">
        <f t="shared" si="60"/>
        <v>1.9500000000000002</v>
      </c>
      <c r="D85" s="1355" t="e">
        <f t="shared" si="61"/>
        <v>#REF!</v>
      </c>
      <c r="E85" s="404"/>
      <c r="F85" s="405" t="e">
        <f t="shared" si="64"/>
        <v>#REF!</v>
      </c>
      <c r="G85" s="406" t="e">
        <f t="shared" si="62"/>
        <v>#REF!</v>
      </c>
      <c r="H85" s="404">
        <v>1.6</v>
      </c>
      <c r="I85" s="405" t="e">
        <f t="shared" si="65"/>
        <v>#REF!</v>
      </c>
      <c r="J85" s="406" t="e">
        <f>I85*Затраты!X$32</f>
        <v>#REF!</v>
      </c>
      <c r="K85" s="408">
        <v>0.35</v>
      </c>
      <c r="L85" s="405" t="e">
        <f t="shared" si="66"/>
        <v>#REF!</v>
      </c>
      <c r="M85" s="406" t="e">
        <f>L85*Затраты!X$33</f>
        <v>#REF!</v>
      </c>
      <c r="N85" s="408"/>
      <c r="O85" s="405" t="e">
        <f t="shared" si="67"/>
        <v>#REF!</v>
      </c>
      <c r="P85" s="406" t="e">
        <f>O85*Затраты!X$34</f>
        <v>#REF!</v>
      </c>
      <c r="Q85" s="408"/>
      <c r="R85" s="405" t="e">
        <f t="shared" si="68"/>
        <v>#REF!</v>
      </c>
      <c r="S85" s="406"/>
      <c r="T85" s="408"/>
      <c r="U85" s="405" t="e">
        <f t="shared" si="69"/>
        <v>#REF!</v>
      </c>
      <c r="V85" s="406" t="e">
        <f t="shared" si="70"/>
        <v>#REF!</v>
      </c>
      <c r="W85" s="408"/>
      <c r="X85" s="405" t="e">
        <f t="shared" si="71"/>
        <v>#REF!</v>
      </c>
      <c r="Y85" s="409" t="e">
        <f t="shared" si="72"/>
        <v>#REF!</v>
      </c>
      <c r="Z85" s="410"/>
      <c r="AA85" s="562" t="e">
        <f t="shared" si="63"/>
        <v>#REF!</v>
      </c>
    </row>
    <row r="86" spans="1:27">
      <c r="A86" s="563" t="s">
        <v>267</v>
      </c>
      <c r="B86" s="411" t="e">
        <f>'3-10.ДПЖ'!AA84</f>
        <v>#REF!</v>
      </c>
      <c r="C86" s="1354">
        <f t="shared" si="60"/>
        <v>1.9500000000000002</v>
      </c>
      <c r="D86" s="1355" t="e">
        <f t="shared" si="61"/>
        <v>#REF!</v>
      </c>
      <c r="E86" s="404"/>
      <c r="F86" s="405" t="e">
        <f t="shared" si="64"/>
        <v>#REF!</v>
      </c>
      <c r="G86" s="406" t="e">
        <f t="shared" si="62"/>
        <v>#REF!</v>
      </c>
      <c r="H86" s="404">
        <v>1.6</v>
      </c>
      <c r="I86" s="405" t="e">
        <f t="shared" si="65"/>
        <v>#REF!</v>
      </c>
      <c r="J86" s="406" t="e">
        <f>I86*Затраты!X$32</f>
        <v>#REF!</v>
      </c>
      <c r="K86" s="408">
        <v>0.35</v>
      </c>
      <c r="L86" s="405" t="e">
        <f t="shared" si="66"/>
        <v>#REF!</v>
      </c>
      <c r="M86" s="406" t="e">
        <f>L86*Затраты!X$33</f>
        <v>#REF!</v>
      </c>
      <c r="N86" s="408"/>
      <c r="O86" s="405" t="e">
        <f t="shared" si="67"/>
        <v>#REF!</v>
      </c>
      <c r="P86" s="406" t="e">
        <f>O86*Затраты!X$34</f>
        <v>#REF!</v>
      </c>
      <c r="Q86" s="408"/>
      <c r="R86" s="405" t="e">
        <f t="shared" si="68"/>
        <v>#REF!</v>
      </c>
      <c r="S86" s="406"/>
      <c r="T86" s="408"/>
      <c r="U86" s="405" t="e">
        <f t="shared" si="69"/>
        <v>#REF!</v>
      </c>
      <c r="V86" s="406" t="e">
        <f t="shared" si="70"/>
        <v>#REF!</v>
      </c>
      <c r="W86" s="408"/>
      <c r="X86" s="405" t="e">
        <f t="shared" si="71"/>
        <v>#REF!</v>
      </c>
      <c r="Y86" s="409" t="e">
        <f t="shared" si="72"/>
        <v>#REF!</v>
      </c>
      <c r="Z86" s="410"/>
      <c r="AA86" s="562" t="e">
        <f t="shared" si="63"/>
        <v>#REF!</v>
      </c>
    </row>
    <row r="87" spans="1:27">
      <c r="A87" s="563" t="s">
        <v>265</v>
      </c>
      <c r="B87" s="411" t="e">
        <f>'3-10.ДПЖ'!AA85</f>
        <v>#REF!</v>
      </c>
      <c r="C87" s="1354">
        <f t="shared" si="60"/>
        <v>1.5</v>
      </c>
      <c r="D87" s="1355" t="e">
        <f t="shared" si="61"/>
        <v>#REF!</v>
      </c>
      <c r="E87" s="404"/>
      <c r="F87" s="405" t="e">
        <f t="shared" si="64"/>
        <v>#REF!</v>
      </c>
      <c r="G87" s="406" t="e">
        <f t="shared" si="62"/>
        <v>#REF!</v>
      </c>
      <c r="H87" s="404">
        <v>1.2</v>
      </c>
      <c r="I87" s="405" t="e">
        <f t="shared" si="65"/>
        <v>#REF!</v>
      </c>
      <c r="J87" s="406" t="e">
        <f>I87*Затраты!X$32</f>
        <v>#REF!</v>
      </c>
      <c r="K87" s="408">
        <v>0.3</v>
      </c>
      <c r="L87" s="405" t="e">
        <f t="shared" si="66"/>
        <v>#REF!</v>
      </c>
      <c r="M87" s="406" t="e">
        <f>L87*Затраты!X$33</f>
        <v>#REF!</v>
      </c>
      <c r="N87" s="408"/>
      <c r="O87" s="405" t="e">
        <f t="shared" si="67"/>
        <v>#REF!</v>
      </c>
      <c r="P87" s="406" t="e">
        <f>O87*Затраты!X$34</f>
        <v>#REF!</v>
      </c>
      <c r="Q87" s="408"/>
      <c r="R87" s="405" t="e">
        <f t="shared" si="68"/>
        <v>#REF!</v>
      </c>
      <c r="S87" s="406"/>
      <c r="T87" s="408"/>
      <c r="U87" s="405" t="e">
        <f t="shared" si="69"/>
        <v>#REF!</v>
      </c>
      <c r="V87" s="406" t="e">
        <f t="shared" si="70"/>
        <v>#REF!</v>
      </c>
      <c r="W87" s="408"/>
      <c r="X87" s="405" t="e">
        <f t="shared" si="71"/>
        <v>#REF!</v>
      </c>
      <c r="Y87" s="409" t="e">
        <f t="shared" si="72"/>
        <v>#REF!</v>
      </c>
      <c r="Z87" s="410"/>
      <c r="AA87" s="562" t="e">
        <f t="shared" si="63"/>
        <v>#REF!</v>
      </c>
    </row>
    <row r="88" spans="1:27">
      <c r="A88" s="563" t="s">
        <v>268</v>
      </c>
      <c r="B88" s="411" t="e">
        <f>'3-10.ДПЖ'!AA86</f>
        <v>#REF!</v>
      </c>
      <c r="C88" s="1354">
        <f t="shared" si="60"/>
        <v>1.5</v>
      </c>
      <c r="D88" s="1355" t="e">
        <f t="shared" si="61"/>
        <v>#REF!</v>
      </c>
      <c r="E88" s="404"/>
      <c r="F88" s="405" t="e">
        <f t="shared" si="64"/>
        <v>#REF!</v>
      </c>
      <c r="G88" s="406" t="e">
        <f t="shared" si="62"/>
        <v>#REF!</v>
      </c>
      <c r="H88" s="404">
        <v>1.2</v>
      </c>
      <c r="I88" s="405" t="e">
        <f t="shared" si="65"/>
        <v>#REF!</v>
      </c>
      <c r="J88" s="406" t="e">
        <f>I88*Затраты!X$32</f>
        <v>#REF!</v>
      </c>
      <c r="K88" s="408">
        <v>0.3</v>
      </c>
      <c r="L88" s="405" t="e">
        <f t="shared" si="66"/>
        <v>#REF!</v>
      </c>
      <c r="M88" s="406" t="e">
        <f>L88*Затраты!X$33</f>
        <v>#REF!</v>
      </c>
      <c r="N88" s="408"/>
      <c r="O88" s="405" t="e">
        <f t="shared" si="67"/>
        <v>#REF!</v>
      </c>
      <c r="P88" s="406" t="e">
        <f>O88*Затраты!X$34</f>
        <v>#REF!</v>
      </c>
      <c r="Q88" s="408"/>
      <c r="R88" s="405" t="e">
        <f t="shared" si="68"/>
        <v>#REF!</v>
      </c>
      <c r="S88" s="406"/>
      <c r="T88" s="408"/>
      <c r="U88" s="405" t="e">
        <f t="shared" si="69"/>
        <v>#REF!</v>
      </c>
      <c r="V88" s="406" t="e">
        <f t="shared" si="70"/>
        <v>#REF!</v>
      </c>
      <c r="W88" s="408"/>
      <c r="X88" s="405" t="e">
        <f t="shared" si="71"/>
        <v>#REF!</v>
      </c>
      <c r="Y88" s="409" t="e">
        <f t="shared" si="72"/>
        <v>#REF!</v>
      </c>
      <c r="Z88" s="410"/>
      <c r="AA88" s="562" t="e">
        <f t="shared" si="63"/>
        <v>#REF!</v>
      </c>
    </row>
    <row r="89" spans="1:27">
      <c r="A89" s="563" t="s">
        <v>266</v>
      </c>
      <c r="B89" s="411" t="e">
        <f>'3-10.ДПЖ'!AA87</f>
        <v>#REF!</v>
      </c>
      <c r="C89" s="1354">
        <f t="shared" si="60"/>
        <v>0.68</v>
      </c>
      <c r="D89" s="1355" t="e">
        <f t="shared" si="61"/>
        <v>#REF!</v>
      </c>
      <c r="E89" s="404"/>
      <c r="F89" s="405" t="e">
        <f t="shared" si="64"/>
        <v>#REF!</v>
      </c>
      <c r="G89" s="406" t="e">
        <f t="shared" si="62"/>
        <v>#REF!</v>
      </c>
      <c r="H89" s="404">
        <v>0.4</v>
      </c>
      <c r="I89" s="405" t="e">
        <f t="shared" si="65"/>
        <v>#REF!</v>
      </c>
      <c r="J89" s="406" t="e">
        <f>I89*Затраты!X$32</f>
        <v>#REF!</v>
      </c>
      <c r="K89" s="408">
        <v>0.28000000000000003</v>
      </c>
      <c r="L89" s="405" t="e">
        <f t="shared" si="66"/>
        <v>#REF!</v>
      </c>
      <c r="M89" s="406" t="e">
        <f>L89*Затраты!X$33</f>
        <v>#REF!</v>
      </c>
      <c r="N89" s="408"/>
      <c r="O89" s="405" t="e">
        <f t="shared" si="67"/>
        <v>#REF!</v>
      </c>
      <c r="P89" s="406" t="e">
        <f>O89*Затраты!X$34</f>
        <v>#REF!</v>
      </c>
      <c r="Q89" s="408"/>
      <c r="R89" s="405" t="e">
        <f t="shared" si="68"/>
        <v>#REF!</v>
      </c>
      <c r="S89" s="406"/>
      <c r="T89" s="408"/>
      <c r="U89" s="405" t="e">
        <f t="shared" si="69"/>
        <v>#REF!</v>
      </c>
      <c r="V89" s="406" t="e">
        <f t="shared" si="70"/>
        <v>#REF!</v>
      </c>
      <c r="W89" s="408"/>
      <c r="X89" s="405" t="e">
        <f t="shared" si="71"/>
        <v>#REF!</v>
      </c>
      <c r="Y89" s="409" t="e">
        <f t="shared" si="72"/>
        <v>#REF!</v>
      </c>
      <c r="Z89" s="410"/>
      <c r="AA89" s="562" t="e">
        <f t="shared" si="63"/>
        <v>#REF!</v>
      </c>
    </row>
    <row r="90" spans="1:27">
      <c r="A90" s="563" t="s">
        <v>269</v>
      </c>
      <c r="B90" s="411" t="e">
        <f>'3-10.ДПЖ'!AA88</f>
        <v>#REF!</v>
      </c>
      <c r="C90" s="1354">
        <f t="shared" si="60"/>
        <v>0.68</v>
      </c>
      <c r="D90" s="1355" t="e">
        <f t="shared" si="61"/>
        <v>#REF!</v>
      </c>
      <c r="E90" s="404"/>
      <c r="F90" s="405" t="e">
        <f t="shared" si="64"/>
        <v>#REF!</v>
      </c>
      <c r="G90" s="406" t="e">
        <f t="shared" si="62"/>
        <v>#REF!</v>
      </c>
      <c r="H90" s="404">
        <v>0.4</v>
      </c>
      <c r="I90" s="405" t="e">
        <f t="shared" si="65"/>
        <v>#REF!</v>
      </c>
      <c r="J90" s="406" t="e">
        <f>I90*Затраты!X$32</f>
        <v>#REF!</v>
      </c>
      <c r="K90" s="408">
        <v>0.28000000000000003</v>
      </c>
      <c r="L90" s="405" t="e">
        <f t="shared" si="66"/>
        <v>#REF!</v>
      </c>
      <c r="M90" s="406" t="e">
        <f>L90*Затраты!X$33</f>
        <v>#REF!</v>
      </c>
      <c r="N90" s="408"/>
      <c r="O90" s="405" t="e">
        <f t="shared" si="67"/>
        <v>#REF!</v>
      </c>
      <c r="P90" s="406" t="e">
        <f>O90*Затраты!X$34</f>
        <v>#REF!</v>
      </c>
      <c r="Q90" s="408"/>
      <c r="R90" s="405" t="e">
        <f t="shared" si="68"/>
        <v>#REF!</v>
      </c>
      <c r="S90" s="406"/>
      <c r="T90" s="408"/>
      <c r="U90" s="405" t="e">
        <f t="shared" si="69"/>
        <v>#REF!</v>
      </c>
      <c r="V90" s="406" t="e">
        <f t="shared" si="70"/>
        <v>#REF!</v>
      </c>
      <c r="W90" s="408"/>
      <c r="X90" s="405" t="e">
        <f t="shared" si="71"/>
        <v>#REF!</v>
      </c>
      <c r="Y90" s="409" t="e">
        <f t="shared" si="72"/>
        <v>#REF!</v>
      </c>
      <c r="Z90" s="410"/>
      <c r="AA90" s="562" t="e">
        <f t="shared" si="63"/>
        <v>#REF!</v>
      </c>
    </row>
    <row r="91" spans="1:27">
      <c r="A91" s="564" t="s">
        <v>270</v>
      </c>
      <c r="B91" s="411" t="e">
        <f>'3-10.ДПЖ'!AA89</f>
        <v>#REF!</v>
      </c>
      <c r="C91" s="1354">
        <f t="shared" si="60"/>
        <v>0.69000000000000006</v>
      </c>
      <c r="D91" s="1355" t="e">
        <f t="shared" si="61"/>
        <v>#REF!</v>
      </c>
      <c r="E91" s="404"/>
      <c r="F91" s="405" t="e">
        <f t="shared" si="64"/>
        <v>#REF!</v>
      </c>
      <c r="G91" s="406" t="e">
        <f t="shared" si="62"/>
        <v>#REF!</v>
      </c>
      <c r="H91" s="404">
        <v>0.3</v>
      </c>
      <c r="I91" s="405" t="e">
        <f>B91*H91</f>
        <v>#REF!</v>
      </c>
      <c r="J91" s="406" t="e">
        <f>I91*Затраты!X$32</f>
        <v>#REF!</v>
      </c>
      <c r="K91" s="408">
        <v>0.24</v>
      </c>
      <c r="L91" s="405" t="e">
        <f t="shared" si="66"/>
        <v>#REF!</v>
      </c>
      <c r="M91" s="406" t="e">
        <f>L91*Затраты!X$33</f>
        <v>#REF!</v>
      </c>
      <c r="N91" s="408"/>
      <c r="O91" s="405" t="e">
        <f t="shared" si="67"/>
        <v>#REF!</v>
      </c>
      <c r="P91" s="406" t="e">
        <f>O91*Затраты!X$34</f>
        <v>#REF!</v>
      </c>
      <c r="Q91" s="408"/>
      <c r="R91" s="405" t="e">
        <f t="shared" si="68"/>
        <v>#REF!</v>
      </c>
      <c r="S91" s="406"/>
      <c r="T91" s="408">
        <v>0.15</v>
      </c>
      <c r="U91" s="405" t="e">
        <f t="shared" si="69"/>
        <v>#REF!</v>
      </c>
      <c r="V91" s="406" t="e">
        <f>+U91*45</f>
        <v>#REF!</v>
      </c>
      <c r="W91" s="408"/>
      <c r="X91" s="405" t="e">
        <f t="shared" si="71"/>
        <v>#REF!</v>
      </c>
      <c r="Y91" s="409" t="e">
        <f t="shared" si="72"/>
        <v>#REF!</v>
      </c>
      <c r="Z91" s="412"/>
      <c r="AA91" s="562" t="e">
        <f t="shared" si="63"/>
        <v>#REF!</v>
      </c>
    </row>
    <row r="92" spans="1:27" ht="12" thickBot="1">
      <c r="A92" s="565" t="s">
        <v>272</v>
      </c>
      <c r="B92" s="566" t="e">
        <f>'3-10.ДПЖ'!AA90</f>
        <v>#REF!</v>
      </c>
      <c r="C92" s="1356">
        <f t="shared" si="60"/>
        <v>0.69000000000000006</v>
      </c>
      <c r="D92" s="1357" t="e">
        <f t="shared" si="61"/>
        <v>#REF!</v>
      </c>
      <c r="E92" s="567"/>
      <c r="F92" s="570" t="e">
        <f t="shared" si="64"/>
        <v>#REF!</v>
      </c>
      <c r="G92" s="569" t="e">
        <f t="shared" si="62"/>
        <v>#REF!</v>
      </c>
      <c r="H92" s="567">
        <v>0.3</v>
      </c>
      <c r="I92" s="570" t="e">
        <f>B92*H92</f>
        <v>#REF!</v>
      </c>
      <c r="J92" s="569" t="e">
        <f>I92*Затраты!X$32</f>
        <v>#REF!</v>
      </c>
      <c r="K92" s="571">
        <v>0.24</v>
      </c>
      <c r="L92" s="570" t="e">
        <f t="shared" si="66"/>
        <v>#REF!</v>
      </c>
      <c r="M92" s="569" t="e">
        <f>L92*Затраты!X$33</f>
        <v>#REF!</v>
      </c>
      <c r="N92" s="571"/>
      <c r="O92" s="570" t="e">
        <f t="shared" si="67"/>
        <v>#REF!</v>
      </c>
      <c r="P92" s="569" t="e">
        <f>O92*Затраты!X$34</f>
        <v>#REF!</v>
      </c>
      <c r="Q92" s="571"/>
      <c r="R92" s="570" t="e">
        <f t="shared" si="68"/>
        <v>#REF!</v>
      </c>
      <c r="S92" s="569"/>
      <c r="T92" s="571">
        <v>0.15</v>
      </c>
      <c r="U92" s="570" t="e">
        <f t="shared" si="69"/>
        <v>#REF!</v>
      </c>
      <c r="V92" s="569" t="e">
        <f>+U92*45</f>
        <v>#REF!</v>
      </c>
      <c r="W92" s="571"/>
      <c r="X92" s="570" t="e">
        <f t="shared" si="71"/>
        <v>#REF!</v>
      </c>
      <c r="Y92" s="572" t="e">
        <f t="shared" si="72"/>
        <v>#REF!</v>
      </c>
      <c r="Z92" s="573"/>
      <c r="AA92" s="574" t="e">
        <f t="shared" si="63"/>
        <v>#REF!</v>
      </c>
    </row>
    <row r="93" spans="1:27" ht="12" thickTop="1">
      <c r="A93" s="549" t="s">
        <v>336</v>
      </c>
    </row>
    <row r="94" spans="1:27" ht="12" thickBot="1">
      <c r="A94" s="413">
        <f>+A71+1</f>
        <v>2023</v>
      </c>
      <c r="E94" s="357" t="s">
        <v>469</v>
      </c>
      <c r="AA94" s="1294" t="s">
        <v>549</v>
      </c>
    </row>
    <row r="95" spans="1:27" ht="12.75" thickTop="1" thickBot="1">
      <c r="A95" s="2081" t="s">
        <v>224</v>
      </c>
      <c r="B95" s="2083" t="s">
        <v>308</v>
      </c>
      <c r="C95" s="2085" t="s">
        <v>309</v>
      </c>
      <c r="D95" s="2086"/>
      <c r="E95" s="2089" t="s">
        <v>310</v>
      </c>
      <c r="F95" s="2089"/>
      <c r="G95" s="2089"/>
      <c r="H95" s="2089"/>
      <c r="I95" s="2089"/>
      <c r="J95" s="2089"/>
      <c r="K95" s="2089"/>
      <c r="L95" s="2089"/>
      <c r="M95" s="2089"/>
      <c r="N95" s="2089"/>
      <c r="O95" s="2089"/>
      <c r="P95" s="2089"/>
      <c r="Q95" s="2089"/>
      <c r="R95" s="2089"/>
      <c r="S95" s="2089"/>
      <c r="T95" s="2089"/>
      <c r="U95" s="2089"/>
      <c r="V95" s="2089"/>
      <c r="W95" s="2089"/>
      <c r="X95" s="2089"/>
      <c r="Y95" s="2090"/>
      <c r="Z95" s="2091" t="s">
        <v>311</v>
      </c>
      <c r="AA95" s="2075" t="s">
        <v>312</v>
      </c>
    </row>
    <row r="96" spans="1:27" ht="11.25" customHeight="1">
      <c r="A96" s="2082"/>
      <c r="B96" s="2084"/>
      <c r="C96" s="2087"/>
      <c r="D96" s="2088"/>
      <c r="E96" s="2077" t="s">
        <v>313</v>
      </c>
      <c r="F96" s="2078"/>
      <c r="G96" s="2079"/>
      <c r="H96" s="2077" t="s">
        <v>210</v>
      </c>
      <c r="I96" s="2078"/>
      <c r="J96" s="2079"/>
      <c r="K96" s="2093" t="s">
        <v>338</v>
      </c>
      <c r="L96" s="2094"/>
      <c r="M96" s="2095"/>
      <c r="N96" s="2077" t="s">
        <v>337</v>
      </c>
      <c r="O96" s="2078"/>
      <c r="P96" s="2079"/>
      <c r="Q96" s="2077" t="s">
        <v>278</v>
      </c>
      <c r="R96" s="2078"/>
      <c r="S96" s="2079"/>
      <c r="T96" s="2077" t="s">
        <v>330</v>
      </c>
      <c r="U96" s="2078"/>
      <c r="V96" s="2079"/>
      <c r="W96" s="2077" t="s">
        <v>468</v>
      </c>
      <c r="X96" s="2078"/>
      <c r="Y96" s="2080"/>
      <c r="Z96" s="2092"/>
      <c r="AA96" s="2076"/>
    </row>
    <row r="97" spans="1:34" ht="33.75">
      <c r="A97" s="2082"/>
      <c r="B97" s="2084"/>
      <c r="C97" s="907" t="s">
        <v>314</v>
      </c>
      <c r="D97" s="908" t="s">
        <v>315</v>
      </c>
      <c r="E97" s="361" t="s">
        <v>316</v>
      </c>
      <c r="F97" s="362" t="s">
        <v>315</v>
      </c>
      <c r="G97" s="363" t="s">
        <v>317</v>
      </c>
      <c r="H97" s="361" t="s">
        <v>318</v>
      </c>
      <c r="I97" s="362" t="s">
        <v>315</v>
      </c>
      <c r="J97" s="363" t="s">
        <v>317</v>
      </c>
      <c r="K97" s="361" t="s">
        <v>316</v>
      </c>
      <c r="L97" s="362" t="s">
        <v>315</v>
      </c>
      <c r="M97" s="363" t="s">
        <v>317</v>
      </c>
      <c r="N97" s="361" t="s">
        <v>316</v>
      </c>
      <c r="O97" s="362" t="s">
        <v>315</v>
      </c>
      <c r="P97" s="363" t="s">
        <v>317</v>
      </c>
      <c r="Q97" s="361" t="s">
        <v>314</v>
      </c>
      <c r="R97" s="362" t="s">
        <v>315</v>
      </c>
      <c r="S97" s="363" t="s">
        <v>317</v>
      </c>
      <c r="T97" s="361" t="s">
        <v>316</v>
      </c>
      <c r="U97" s="362" t="s">
        <v>315</v>
      </c>
      <c r="V97" s="363" t="s">
        <v>317</v>
      </c>
      <c r="W97" s="361" t="s">
        <v>316</v>
      </c>
      <c r="X97" s="362" t="s">
        <v>315</v>
      </c>
      <c r="Y97" s="364" t="s">
        <v>317</v>
      </c>
      <c r="Z97" s="2092"/>
      <c r="AA97" s="2076"/>
    </row>
    <row r="98" spans="1:34" ht="12" thickBot="1">
      <c r="A98" s="553" t="s">
        <v>305</v>
      </c>
      <c r="B98" s="365">
        <v>1</v>
      </c>
      <c r="C98" s="366">
        <v>2</v>
      </c>
      <c r="D98" s="367">
        <v>3</v>
      </c>
      <c r="E98" s="368">
        <v>2</v>
      </c>
      <c r="F98" s="369">
        <v>3</v>
      </c>
      <c r="G98" s="370">
        <v>4</v>
      </c>
      <c r="H98" s="368">
        <v>5</v>
      </c>
      <c r="I98" s="369">
        <v>6</v>
      </c>
      <c r="J98" s="370">
        <v>7</v>
      </c>
      <c r="K98" s="371">
        <v>8</v>
      </c>
      <c r="L98" s="372">
        <v>9</v>
      </c>
      <c r="M98" s="370">
        <v>10</v>
      </c>
      <c r="N98" s="368">
        <v>11</v>
      </c>
      <c r="O98" s="369">
        <v>12</v>
      </c>
      <c r="P98" s="370">
        <v>13</v>
      </c>
      <c r="Q98" s="368">
        <v>14</v>
      </c>
      <c r="R98" s="369">
        <v>15</v>
      </c>
      <c r="S98" s="370">
        <v>16</v>
      </c>
      <c r="T98" s="368">
        <v>17</v>
      </c>
      <c r="U98" s="369">
        <v>18</v>
      </c>
      <c r="V98" s="370">
        <v>19</v>
      </c>
      <c r="W98" s="368">
        <v>20</v>
      </c>
      <c r="X98" s="369">
        <v>21</v>
      </c>
      <c r="Y98" s="373">
        <v>22</v>
      </c>
      <c r="Z98" s="368">
        <v>55</v>
      </c>
      <c r="AA98" s="554">
        <v>23</v>
      </c>
    </row>
    <row r="99" spans="1:34">
      <c r="A99" s="575"/>
      <c r="B99" s="424"/>
      <c r="C99" s="425"/>
      <c r="D99" s="426"/>
      <c r="E99" s="377"/>
      <c r="F99" s="378"/>
      <c r="G99" s="379"/>
      <c r="H99" s="377"/>
      <c r="I99" s="378"/>
      <c r="J99" s="379"/>
      <c r="K99" s="380"/>
      <c r="L99" s="381"/>
      <c r="M99" s="379"/>
      <c r="N99" s="377"/>
      <c r="O99" s="378"/>
      <c r="P99" s="379"/>
      <c r="Q99" s="377"/>
      <c r="R99" s="378"/>
      <c r="S99" s="379"/>
      <c r="T99" s="377"/>
      <c r="U99" s="378"/>
      <c r="V99" s="379"/>
      <c r="W99" s="427"/>
      <c r="X99" s="428"/>
      <c r="Y99" s="429"/>
      <c r="Z99" s="427"/>
      <c r="AA99" s="576"/>
    </row>
    <row r="100" spans="1:34">
      <c r="A100" s="557" t="s">
        <v>306</v>
      </c>
      <c r="B100" s="383" t="e">
        <f>B101+B104</f>
        <v>#REF!</v>
      </c>
      <c r="C100" s="384"/>
      <c r="D100" s="385"/>
      <c r="E100" s="386">
        <f t="shared" ref="E100:Y100" si="73">E101+E104</f>
        <v>0</v>
      </c>
      <c r="F100" s="387" t="e">
        <f t="shared" si="73"/>
        <v>#REF!</v>
      </c>
      <c r="G100" s="389" t="e">
        <f t="shared" si="73"/>
        <v>#REF!</v>
      </c>
      <c r="H100" s="386">
        <f t="shared" si="73"/>
        <v>15.5</v>
      </c>
      <c r="I100" s="387" t="e">
        <f t="shared" si="73"/>
        <v>#REF!</v>
      </c>
      <c r="J100" s="389" t="e">
        <f t="shared" si="73"/>
        <v>#DIV/0!</v>
      </c>
      <c r="K100" s="386">
        <f t="shared" si="73"/>
        <v>3.9400000000000008</v>
      </c>
      <c r="L100" s="387" t="e">
        <f t="shared" si="73"/>
        <v>#REF!</v>
      </c>
      <c r="M100" s="389" t="e">
        <f t="shared" si="73"/>
        <v>#REF!</v>
      </c>
      <c r="N100" s="386">
        <f t="shared" si="73"/>
        <v>0.36</v>
      </c>
      <c r="O100" s="387" t="e">
        <f t="shared" si="73"/>
        <v>#REF!</v>
      </c>
      <c r="P100" s="389" t="e">
        <f t="shared" si="73"/>
        <v>#REF!</v>
      </c>
      <c r="Q100" s="386">
        <f t="shared" si="73"/>
        <v>0</v>
      </c>
      <c r="R100" s="387" t="e">
        <f t="shared" si="73"/>
        <v>#REF!</v>
      </c>
      <c r="S100" s="389">
        <f t="shared" si="73"/>
        <v>0</v>
      </c>
      <c r="T100" s="386">
        <f t="shared" si="73"/>
        <v>0.3</v>
      </c>
      <c r="U100" s="387" t="e">
        <f t="shared" si="73"/>
        <v>#REF!</v>
      </c>
      <c r="V100" s="389" t="e">
        <f t="shared" si="73"/>
        <v>#REF!</v>
      </c>
      <c r="W100" s="386">
        <f t="shared" si="73"/>
        <v>0</v>
      </c>
      <c r="X100" s="387" t="e">
        <f t="shared" si="73"/>
        <v>#REF!</v>
      </c>
      <c r="Y100" s="416" t="e">
        <f t="shared" si="73"/>
        <v>#REF!</v>
      </c>
      <c r="Z100" s="386">
        <f>Z101+Z104</f>
        <v>0</v>
      </c>
      <c r="AA100" s="558" t="e">
        <f>AA101+AA104</f>
        <v>#REF!</v>
      </c>
    </row>
    <row r="101" spans="1:34" ht="21">
      <c r="A101" s="559" t="s">
        <v>319</v>
      </c>
      <c r="B101" s="393" t="e">
        <f>SUM(B102:B103)</f>
        <v>#REF!</v>
      </c>
      <c r="C101" s="394">
        <f t="shared" ref="C101:G101" si="74">SUM(C102:C103)</f>
        <v>2.96</v>
      </c>
      <c r="D101" s="395" t="e">
        <f t="shared" si="74"/>
        <v>#REF!</v>
      </c>
      <c r="E101" s="396">
        <f t="shared" si="74"/>
        <v>0</v>
      </c>
      <c r="F101" s="397" t="e">
        <f t="shared" si="74"/>
        <v>#REF!</v>
      </c>
      <c r="G101" s="402" t="e">
        <f t="shared" si="74"/>
        <v>#REF!</v>
      </c>
      <c r="H101" s="396">
        <f>SUM(H102:H103)</f>
        <v>2</v>
      </c>
      <c r="I101" s="397" t="e">
        <f t="shared" ref="I101:Z101" si="75">SUM(I102:I103)</f>
        <v>#REF!</v>
      </c>
      <c r="J101" s="402" t="e">
        <f t="shared" si="75"/>
        <v>#DIV/0!</v>
      </c>
      <c r="K101" s="396">
        <f t="shared" si="75"/>
        <v>0.6</v>
      </c>
      <c r="L101" s="397" t="e">
        <f t="shared" si="75"/>
        <v>#REF!</v>
      </c>
      <c r="M101" s="402" t="e">
        <f t="shared" si="75"/>
        <v>#REF!</v>
      </c>
      <c r="N101" s="396">
        <f t="shared" si="75"/>
        <v>0.36</v>
      </c>
      <c r="O101" s="397" t="e">
        <f t="shared" si="75"/>
        <v>#REF!</v>
      </c>
      <c r="P101" s="402" t="e">
        <f t="shared" si="75"/>
        <v>#REF!</v>
      </c>
      <c r="Q101" s="396">
        <f t="shared" si="75"/>
        <v>0</v>
      </c>
      <c r="R101" s="397" t="e">
        <f t="shared" si="75"/>
        <v>#REF!</v>
      </c>
      <c r="S101" s="402">
        <f t="shared" si="75"/>
        <v>0</v>
      </c>
      <c r="T101" s="396">
        <f t="shared" si="75"/>
        <v>0</v>
      </c>
      <c r="U101" s="397" t="e">
        <f t="shared" si="75"/>
        <v>#REF!</v>
      </c>
      <c r="V101" s="402" t="e">
        <f t="shared" si="75"/>
        <v>#REF!</v>
      </c>
      <c r="W101" s="396">
        <f t="shared" si="75"/>
        <v>0</v>
      </c>
      <c r="X101" s="397" t="e">
        <f t="shared" si="75"/>
        <v>#REF!</v>
      </c>
      <c r="Y101" s="417" t="e">
        <f t="shared" si="75"/>
        <v>#REF!</v>
      </c>
      <c r="Z101" s="396">
        <f t="shared" si="75"/>
        <v>0</v>
      </c>
      <c r="AA101" s="560" t="e">
        <f>SUM(AA102:AA103)</f>
        <v>#REF!</v>
      </c>
      <c r="AD101" s="2074" t="s">
        <v>77</v>
      </c>
      <c r="AE101" s="2074"/>
      <c r="AF101" s="2074"/>
      <c r="AG101" s="2074"/>
      <c r="AH101" s="2074"/>
    </row>
    <row r="102" spans="1:34">
      <c r="A102" s="561" t="s">
        <v>244</v>
      </c>
      <c r="B102" s="403" t="e">
        <f>'3-10.ДПЖ'!AA101</f>
        <v>#REF!</v>
      </c>
      <c r="C102" s="1354">
        <f t="shared" ref="C102:C103" si="76">+E102+H102+K102+N102+T102</f>
        <v>0</v>
      </c>
      <c r="D102" s="1355" t="e">
        <f t="shared" ref="D102:D103" si="77">+F102+I102+L102+O102+U102</f>
        <v>#REF!</v>
      </c>
      <c r="E102" s="404"/>
      <c r="F102" s="405" t="e">
        <f>E102*B102</f>
        <v>#REF!</v>
      </c>
      <c r="G102" s="406" t="e">
        <f t="shared" ref="G102:G103" si="78">F102*20</f>
        <v>#REF!</v>
      </c>
      <c r="H102" s="404"/>
      <c r="I102" s="405"/>
      <c r="J102" s="406" t="e">
        <f>I102*Затраты!X$41</f>
        <v>#DIV/0!</v>
      </c>
      <c r="K102" s="407"/>
      <c r="L102" s="405" t="e">
        <f>B102*K102</f>
        <v>#REF!</v>
      </c>
      <c r="M102" s="406" t="e">
        <f>L102*Затраты!X$42</f>
        <v>#REF!</v>
      </c>
      <c r="N102" s="408"/>
      <c r="O102" s="405" t="e">
        <f>B102*N102</f>
        <v>#REF!</v>
      </c>
      <c r="P102" s="406" t="e">
        <f>O102*Затраты!X$43</f>
        <v>#REF!</v>
      </c>
      <c r="Q102" s="408"/>
      <c r="R102" s="405" t="e">
        <f>B102*Q102</f>
        <v>#REF!</v>
      </c>
      <c r="S102" s="406"/>
      <c r="T102" s="408"/>
      <c r="U102" s="405" t="e">
        <f>B102*T102</f>
        <v>#REF!</v>
      </c>
      <c r="V102" s="406" t="e">
        <f>U102*20</f>
        <v>#REF!</v>
      </c>
      <c r="W102" s="408"/>
      <c r="X102" s="405" t="e">
        <f>B102*W102</f>
        <v>#REF!</v>
      </c>
      <c r="Y102" s="409" t="e">
        <f>X102*15</f>
        <v>#REF!</v>
      </c>
      <c r="Z102" s="419"/>
      <c r="AA102" s="562" t="e">
        <f>G102+J102+P102+S102+V102+Y102+Z102+M102</f>
        <v>#REF!</v>
      </c>
    </row>
    <row r="103" spans="1:34">
      <c r="A103" s="561" t="s">
        <v>260</v>
      </c>
      <c r="B103" s="403" t="e">
        <f>'3-10.ДПЖ'!AA102</f>
        <v>#REF!</v>
      </c>
      <c r="C103" s="1354">
        <f t="shared" si="76"/>
        <v>2.96</v>
      </c>
      <c r="D103" s="1355" t="e">
        <f t="shared" si="77"/>
        <v>#REF!</v>
      </c>
      <c r="E103" s="404"/>
      <c r="F103" s="405" t="e">
        <f>E103*B103</f>
        <v>#REF!</v>
      </c>
      <c r="G103" s="406" t="e">
        <f t="shared" si="78"/>
        <v>#REF!</v>
      </c>
      <c r="H103" s="404">
        <v>2</v>
      </c>
      <c r="I103" s="405" t="e">
        <f>B103*H103</f>
        <v>#REF!</v>
      </c>
      <c r="J103" s="406" t="e">
        <f>I103*Затраты!X$41</f>
        <v>#REF!</v>
      </c>
      <c r="K103" s="407">
        <v>0.6</v>
      </c>
      <c r="L103" s="405" t="e">
        <f>B103*K103</f>
        <v>#REF!</v>
      </c>
      <c r="M103" s="406" t="e">
        <f>L103*Затраты!X$42</f>
        <v>#REF!</v>
      </c>
      <c r="N103" s="408">
        <v>0.36</v>
      </c>
      <c r="O103" s="405" t="e">
        <f>B103*N103</f>
        <v>#REF!</v>
      </c>
      <c r="P103" s="406" t="e">
        <f>O103*Затраты!X$43</f>
        <v>#REF!</v>
      </c>
      <c r="Q103" s="408"/>
      <c r="R103" s="405" t="e">
        <f>B103*Q103</f>
        <v>#REF!</v>
      </c>
      <c r="S103" s="406"/>
      <c r="T103" s="408"/>
      <c r="U103" s="405" t="e">
        <f>B103*T103</f>
        <v>#REF!</v>
      </c>
      <c r="V103" s="406" t="e">
        <f>U103*20</f>
        <v>#REF!</v>
      </c>
      <c r="W103" s="408"/>
      <c r="X103" s="405" t="e">
        <f>B103*W103</f>
        <v>#REF!</v>
      </c>
      <c r="Y103" s="409" t="e">
        <f>X103*15</f>
        <v>#REF!</v>
      </c>
      <c r="Z103" s="419"/>
      <c r="AA103" s="562" t="e">
        <f>G103+J103+P103+S103+V103+Y103+Z103+M103</f>
        <v>#REF!</v>
      </c>
    </row>
    <row r="104" spans="1:34" ht="21">
      <c r="A104" s="559" t="s">
        <v>320</v>
      </c>
      <c r="B104" s="393" t="e">
        <f>SUM(B105:B115)</f>
        <v>#REF!</v>
      </c>
      <c r="C104" s="394">
        <f t="shared" ref="C104:AA104" si="79">SUM(C105:C115)</f>
        <v>17.14</v>
      </c>
      <c r="D104" s="395" t="e">
        <f t="shared" si="79"/>
        <v>#REF!</v>
      </c>
      <c r="E104" s="396">
        <f t="shared" si="79"/>
        <v>0</v>
      </c>
      <c r="F104" s="397" t="e">
        <f t="shared" si="79"/>
        <v>#REF!</v>
      </c>
      <c r="G104" s="398" t="e">
        <f t="shared" si="79"/>
        <v>#REF!</v>
      </c>
      <c r="H104" s="396">
        <f t="shared" si="79"/>
        <v>13.5</v>
      </c>
      <c r="I104" s="397" t="e">
        <f t="shared" si="79"/>
        <v>#REF!</v>
      </c>
      <c r="J104" s="402" t="e">
        <f t="shared" si="79"/>
        <v>#REF!</v>
      </c>
      <c r="K104" s="396">
        <f t="shared" si="79"/>
        <v>3.3400000000000007</v>
      </c>
      <c r="L104" s="397" t="e">
        <f t="shared" si="79"/>
        <v>#REF!</v>
      </c>
      <c r="M104" s="402" t="e">
        <f t="shared" si="79"/>
        <v>#REF!</v>
      </c>
      <c r="N104" s="396">
        <f t="shared" si="79"/>
        <v>0</v>
      </c>
      <c r="O104" s="397" t="e">
        <f t="shared" si="79"/>
        <v>#REF!</v>
      </c>
      <c r="P104" s="402" t="e">
        <f t="shared" si="79"/>
        <v>#REF!</v>
      </c>
      <c r="Q104" s="396">
        <f t="shared" si="79"/>
        <v>0</v>
      </c>
      <c r="R104" s="397" t="e">
        <f t="shared" si="79"/>
        <v>#REF!</v>
      </c>
      <c r="S104" s="402">
        <f t="shared" si="79"/>
        <v>0</v>
      </c>
      <c r="T104" s="396">
        <f t="shared" si="79"/>
        <v>0.3</v>
      </c>
      <c r="U104" s="397" t="e">
        <f t="shared" si="79"/>
        <v>#REF!</v>
      </c>
      <c r="V104" s="402" t="e">
        <f t="shared" si="79"/>
        <v>#REF!</v>
      </c>
      <c r="W104" s="396">
        <f t="shared" si="79"/>
        <v>0</v>
      </c>
      <c r="X104" s="397" t="e">
        <f t="shared" si="79"/>
        <v>#REF!</v>
      </c>
      <c r="Y104" s="417" t="e">
        <f t="shared" si="79"/>
        <v>#REF!</v>
      </c>
      <c r="Z104" s="396">
        <f t="shared" si="79"/>
        <v>0</v>
      </c>
      <c r="AA104" s="560" t="e">
        <f t="shared" si="79"/>
        <v>#REF!</v>
      </c>
    </row>
    <row r="105" spans="1:34">
      <c r="A105" s="563" t="s">
        <v>258</v>
      </c>
      <c r="B105" s="411" t="e">
        <f>'3-10.ДПЖ'!AA103</f>
        <v>#REF!</v>
      </c>
      <c r="C105" s="1354">
        <f t="shared" ref="C105:C115" si="80">+E105+H105+K105+N105+T105</f>
        <v>2</v>
      </c>
      <c r="D105" s="1355" t="e">
        <f t="shared" ref="D105:D115" si="81">+F105+I105+L105+O105+U105</f>
        <v>#REF!</v>
      </c>
      <c r="E105" s="404"/>
      <c r="F105" s="405" t="e">
        <f>E105*B105</f>
        <v>#REF!</v>
      </c>
      <c r="G105" s="406" t="e">
        <f t="shared" ref="G105:G115" si="82">F105*20</f>
        <v>#REF!</v>
      </c>
      <c r="H105" s="404">
        <v>2</v>
      </c>
      <c r="I105" s="405" t="e">
        <f>B105*H105</f>
        <v>#REF!</v>
      </c>
      <c r="J105" s="406" t="e">
        <f>I105*Затраты!X$41</f>
        <v>#REF!</v>
      </c>
      <c r="K105" s="408"/>
      <c r="L105" s="405" t="e">
        <f>B105*K105</f>
        <v>#REF!</v>
      </c>
      <c r="M105" s="406" t="e">
        <f>L105*Затраты!X$42</f>
        <v>#REF!</v>
      </c>
      <c r="N105" s="408"/>
      <c r="O105" s="405" t="e">
        <f>B105*N105</f>
        <v>#REF!</v>
      </c>
      <c r="P105" s="406" t="e">
        <f>O105*Затраты!X$43</f>
        <v>#REF!</v>
      </c>
      <c r="Q105" s="408"/>
      <c r="R105" s="405" t="e">
        <f>B105*Q105</f>
        <v>#REF!</v>
      </c>
      <c r="S105" s="406"/>
      <c r="T105" s="408"/>
      <c r="U105" s="405" t="e">
        <f>B105*T105</f>
        <v>#REF!</v>
      </c>
      <c r="V105" s="406" t="e">
        <f>U105*20</f>
        <v>#REF!</v>
      </c>
      <c r="W105" s="408"/>
      <c r="X105" s="405" t="e">
        <f>B105*W105</f>
        <v>#REF!</v>
      </c>
      <c r="Y105" s="409" t="e">
        <f>X105*15</f>
        <v>#REF!</v>
      </c>
      <c r="Z105" s="410"/>
      <c r="AA105" s="562" t="e">
        <f t="shared" ref="AA105:AA115" si="83">G105+J105+P105+S105+V105+Y105+Z105+M105</f>
        <v>#REF!</v>
      </c>
    </row>
    <row r="106" spans="1:34">
      <c r="A106" s="563" t="s">
        <v>261</v>
      </c>
      <c r="B106" s="411" t="e">
        <f>'3-10.ДПЖ'!AA104</f>
        <v>#REF!</v>
      </c>
      <c r="C106" s="1354">
        <f t="shared" si="80"/>
        <v>3.1</v>
      </c>
      <c r="D106" s="1355" t="e">
        <f t="shared" si="81"/>
        <v>#REF!</v>
      </c>
      <c r="E106" s="404"/>
      <c r="F106" s="405" t="e">
        <f t="shared" ref="F106:F115" si="84">E106*B106</f>
        <v>#REF!</v>
      </c>
      <c r="G106" s="406" t="e">
        <f t="shared" si="82"/>
        <v>#REF!</v>
      </c>
      <c r="H106" s="404">
        <v>2.5</v>
      </c>
      <c r="I106" s="405" t="e">
        <f t="shared" ref="I106:I113" si="85">B106*H106</f>
        <v>#REF!</v>
      </c>
      <c r="J106" s="406" t="e">
        <f>I106*Затраты!X$41</f>
        <v>#REF!</v>
      </c>
      <c r="K106" s="408">
        <v>0.6</v>
      </c>
      <c r="L106" s="405" t="e">
        <f t="shared" ref="L106:L115" si="86">B106*K106</f>
        <v>#REF!</v>
      </c>
      <c r="M106" s="406" t="e">
        <f>L106*Затраты!X$42</f>
        <v>#REF!</v>
      </c>
      <c r="N106" s="408"/>
      <c r="O106" s="405" t="e">
        <f t="shared" ref="O106:O115" si="87">B106*N106</f>
        <v>#REF!</v>
      </c>
      <c r="P106" s="406" t="e">
        <f>O106*Затраты!X$43</f>
        <v>#REF!</v>
      </c>
      <c r="Q106" s="408"/>
      <c r="R106" s="405" t="e">
        <f t="shared" ref="R106:R115" si="88">B106*Q106</f>
        <v>#REF!</v>
      </c>
      <c r="S106" s="406"/>
      <c r="T106" s="408"/>
      <c r="U106" s="405" t="e">
        <f t="shared" ref="U106:U115" si="89">B106*T106</f>
        <v>#REF!</v>
      </c>
      <c r="V106" s="406" t="e">
        <f t="shared" ref="V106:V113" si="90">U106*20</f>
        <v>#REF!</v>
      </c>
      <c r="W106" s="408"/>
      <c r="X106" s="405" t="e">
        <f t="shared" ref="X106:X115" si="91">B106*W106</f>
        <v>#REF!</v>
      </c>
      <c r="Y106" s="409" t="e">
        <f t="shared" ref="Y106:Y115" si="92">X106*15</f>
        <v>#REF!</v>
      </c>
      <c r="Z106" s="410"/>
      <c r="AA106" s="562" t="e">
        <f t="shared" si="83"/>
        <v>#REF!</v>
      </c>
    </row>
    <row r="107" spans="1:34">
      <c r="A107" s="563" t="s">
        <v>263</v>
      </c>
      <c r="B107" s="411" t="e">
        <f>'3-10.ДПЖ'!AA105</f>
        <v>#REF!</v>
      </c>
      <c r="C107" s="1354">
        <f t="shared" si="80"/>
        <v>2.4</v>
      </c>
      <c r="D107" s="1355" t="e">
        <f t="shared" si="81"/>
        <v>#REF!</v>
      </c>
      <c r="E107" s="404"/>
      <c r="F107" s="405" t="e">
        <f t="shared" si="84"/>
        <v>#REF!</v>
      </c>
      <c r="G107" s="406" t="e">
        <f t="shared" si="82"/>
        <v>#REF!</v>
      </c>
      <c r="H107" s="404">
        <v>2</v>
      </c>
      <c r="I107" s="405" t="e">
        <f t="shared" si="85"/>
        <v>#REF!</v>
      </c>
      <c r="J107" s="406" t="e">
        <f>I107*Затраты!X$41</f>
        <v>#REF!</v>
      </c>
      <c r="K107" s="408">
        <v>0.4</v>
      </c>
      <c r="L107" s="405" t="e">
        <f t="shared" si="86"/>
        <v>#REF!</v>
      </c>
      <c r="M107" s="406" t="e">
        <f>L107*Затраты!X$42</f>
        <v>#REF!</v>
      </c>
      <c r="N107" s="408"/>
      <c r="O107" s="405" t="e">
        <f t="shared" si="87"/>
        <v>#REF!</v>
      </c>
      <c r="P107" s="406" t="e">
        <f>O107*Затраты!X$43</f>
        <v>#REF!</v>
      </c>
      <c r="Q107" s="408"/>
      <c r="R107" s="405" t="e">
        <f t="shared" si="88"/>
        <v>#REF!</v>
      </c>
      <c r="S107" s="406"/>
      <c r="T107" s="408"/>
      <c r="U107" s="405" t="e">
        <f t="shared" si="89"/>
        <v>#REF!</v>
      </c>
      <c r="V107" s="406" t="e">
        <f t="shared" si="90"/>
        <v>#REF!</v>
      </c>
      <c r="W107" s="408"/>
      <c r="X107" s="405" t="e">
        <f t="shared" si="91"/>
        <v>#REF!</v>
      </c>
      <c r="Y107" s="409" t="e">
        <f t="shared" si="92"/>
        <v>#REF!</v>
      </c>
      <c r="Z107" s="410"/>
      <c r="AA107" s="562" t="e">
        <f t="shared" si="83"/>
        <v>#REF!</v>
      </c>
    </row>
    <row r="108" spans="1:34">
      <c r="A108" s="563" t="s">
        <v>264</v>
      </c>
      <c r="B108" s="411" t="e">
        <f>'3-10.ДПЖ'!AA106</f>
        <v>#REF!</v>
      </c>
      <c r="C108" s="1354">
        <f t="shared" si="80"/>
        <v>1.9500000000000002</v>
      </c>
      <c r="D108" s="1355" t="e">
        <f t="shared" si="81"/>
        <v>#REF!</v>
      </c>
      <c r="E108" s="404"/>
      <c r="F108" s="405" t="e">
        <f t="shared" si="84"/>
        <v>#REF!</v>
      </c>
      <c r="G108" s="406" t="e">
        <f t="shared" si="82"/>
        <v>#REF!</v>
      </c>
      <c r="H108" s="404">
        <v>1.6</v>
      </c>
      <c r="I108" s="405" t="e">
        <f t="shared" si="85"/>
        <v>#REF!</v>
      </c>
      <c r="J108" s="406" t="e">
        <f>I108*Затраты!X$41</f>
        <v>#REF!</v>
      </c>
      <c r="K108" s="408">
        <v>0.35</v>
      </c>
      <c r="L108" s="405" t="e">
        <f t="shared" si="86"/>
        <v>#REF!</v>
      </c>
      <c r="M108" s="406" t="e">
        <f>L108*Затраты!X$42</f>
        <v>#REF!</v>
      </c>
      <c r="N108" s="408"/>
      <c r="O108" s="405" t="e">
        <f t="shared" si="87"/>
        <v>#REF!</v>
      </c>
      <c r="P108" s="406" t="e">
        <f>O108*Затраты!X$43</f>
        <v>#REF!</v>
      </c>
      <c r="Q108" s="408"/>
      <c r="R108" s="405" t="e">
        <f t="shared" si="88"/>
        <v>#REF!</v>
      </c>
      <c r="S108" s="406"/>
      <c r="T108" s="408"/>
      <c r="U108" s="405" t="e">
        <f t="shared" si="89"/>
        <v>#REF!</v>
      </c>
      <c r="V108" s="406" t="e">
        <f t="shared" si="90"/>
        <v>#REF!</v>
      </c>
      <c r="W108" s="408"/>
      <c r="X108" s="405" t="e">
        <f t="shared" si="91"/>
        <v>#REF!</v>
      </c>
      <c r="Y108" s="409" t="e">
        <f t="shared" si="92"/>
        <v>#REF!</v>
      </c>
      <c r="Z108" s="410"/>
      <c r="AA108" s="562" t="e">
        <f t="shared" si="83"/>
        <v>#REF!</v>
      </c>
    </row>
    <row r="109" spans="1:34">
      <c r="A109" s="563" t="s">
        <v>267</v>
      </c>
      <c r="B109" s="411" t="e">
        <f>'3-10.ДПЖ'!AA107</f>
        <v>#REF!</v>
      </c>
      <c r="C109" s="1354">
        <f t="shared" si="80"/>
        <v>1.9500000000000002</v>
      </c>
      <c r="D109" s="1355" t="e">
        <f t="shared" si="81"/>
        <v>#REF!</v>
      </c>
      <c r="E109" s="404"/>
      <c r="F109" s="405" t="e">
        <f t="shared" si="84"/>
        <v>#REF!</v>
      </c>
      <c r="G109" s="406" t="e">
        <f t="shared" si="82"/>
        <v>#REF!</v>
      </c>
      <c r="H109" s="404">
        <v>1.6</v>
      </c>
      <c r="I109" s="405" t="e">
        <f t="shared" si="85"/>
        <v>#REF!</v>
      </c>
      <c r="J109" s="406" t="e">
        <f>I109*Затраты!X$41</f>
        <v>#REF!</v>
      </c>
      <c r="K109" s="408">
        <v>0.35</v>
      </c>
      <c r="L109" s="405" t="e">
        <f t="shared" si="86"/>
        <v>#REF!</v>
      </c>
      <c r="M109" s="406" t="e">
        <f>L109*Затраты!X$42</f>
        <v>#REF!</v>
      </c>
      <c r="N109" s="408"/>
      <c r="O109" s="405" t="e">
        <f t="shared" si="87"/>
        <v>#REF!</v>
      </c>
      <c r="P109" s="406" t="e">
        <f>O109*Затраты!X$43</f>
        <v>#REF!</v>
      </c>
      <c r="Q109" s="408"/>
      <c r="R109" s="405" t="e">
        <f t="shared" si="88"/>
        <v>#REF!</v>
      </c>
      <c r="S109" s="406"/>
      <c r="T109" s="408"/>
      <c r="U109" s="405" t="e">
        <f t="shared" si="89"/>
        <v>#REF!</v>
      </c>
      <c r="V109" s="406" t="e">
        <f t="shared" si="90"/>
        <v>#REF!</v>
      </c>
      <c r="W109" s="408"/>
      <c r="X109" s="405" t="e">
        <f t="shared" si="91"/>
        <v>#REF!</v>
      </c>
      <c r="Y109" s="409" t="e">
        <f t="shared" si="92"/>
        <v>#REF!</v>
      </c>
      <c r="Z109" s="410"/>
      <c r="AA109" s="562" t="e">
        <f t="shared" si="83"/>
        <v>#REF!</v>
      </c>
    </row>
    <row r="110" spans="1:34">
      <c r="A110" s="563" t="s">
        <v>265</v>
      </c>
      <c r="B110" s="411" t="e">
        <f>'3-10.ДПЖ'!AA108</f>
        <v>#REF!</v>
      </c>
      <c r="C110" s="1354">
        <f t="shared" si="80"/>
        <v>1.5</v>
      </c>
      <c r="D110" s="1355" t="e">
        <f t="shared" si="81"/>
        <v>#REF!</v>
      </c>
      <c r="E110" s="404"/>
      <c r="F110" s="405" t="e">
        <f t="shared" si="84"/>
        <v>#REF!</v>
      </c>
      <c r="G110" s="406" t="e">
        <f t="shared" si="82"/>
        <v>#REF!</v>
      </c>
      <c r="H110" s="404">
        <v>1.2</v>
      </c>
      <c r="I110" s="405" t="e">
        <f t="shared" si="85"/>
        <v>#REF!</v>
      </c>
      <c r="J110" s="406" t="e">
        <f>I110*Затраты!X$41</f>
        <v>#REF!</v>
      </c>
      <c r="K110" s="408">
        <v>0.3</v>
      </c>
      <c r="L110" s="405" t="e">
        <f t="shared" si="86"/>
        <v>#REF!</v>
      </c>
      <c r="M110" s="406" t="e">
        <f>L110*Затраты!X$42</f>
        <v>#REF!</v>
      </c>
      <c r="N110" s="408"/>
      <c r="O110" s="405" t="e">
        <f t="shared" si="87"/>
        <v>#REF!</v>
      </c>
      <c r="P110" s="406" t="e">
        <f>O110*Затраты!X$43</f>
        <v>#REF!</v>
      </c>
      <c r="Q110" s="408"/>
      <c r="R110" s="405" t="e">
        <f t="shared" si="88"/>
        <v>#REF!</v>
      </c>
      <c r="S110" s="406"/>
      <c r="T110" s="408"/>
      <c r="U110" s="405" t="e">
        <f t="shared" si="89"/>
        <v>#REF!</v>
      </c>
      <c r="V110" s="406" t="e">
        <f t="shared" si="90"/>
        <v>#REF!</v>
      </c>
      <c r="W110" s="408"/>
      <c r="X110" s="405" t="e">
        <f t="shared" si="91"/>
        <v>#REF!</v>
      </c>
      <c r="Y110" s="409" t="e">
        <f t="shared" si="92"/>
        <v>#REF!</v>
      </c>
      <c r="Z110" s="410"/>
      <c r="AA110" s="562" t="e">
        <f t="shared" si="83"/>
        <v>#REF!</v>
      </c>
    </row>
    <row r="111" spans="1:34">
      <c r="A111" s="563" t="s">
        <v>268</v>
      </c>
      <c r="B111" s="411" t="e">
        <f>'3-10.ДПЖ'!AA109</f>
        <v>#REF!</v>
      </c>
      <c r="C111" s="1354">
        <f t="shared" si="80"/>
        <v>1.5</v>
      </c>
      <c r="D111" s="1355" t="e">
        <f t="shared" si="81"/>
        <v>#REF!</v>
      </c>
      <c r="E111" s="404"/>
      <c r="F111" s="405" t="e">
        <f t="shared" si="84"/>
        <v>#REF!</v>
      </c>
      <c r="G111" s="406" t="e">
        <f t="shared" si="82"/>
        <v>#REF!</v>
      </c>
      <c r="H111" s="404">
        <v>1.2</v>
      </c>
      <c r="I111" s="405" t="e">
        <f t="shared" si="85"/>
        <v>#REF!</v>
      </c>
      <c r="J111" s="406" t="e">
        <f>I111*Затраты!X$41</f>
        <v>#REF!</v>
      </c>
      <c r="K111" s="408">
        <v>0.3</v>
      </c>
      <c r="L111" s="405" t="e">
        <f t="shared" si="86"/>
        <v>#REF!</v>
      </c>
      <c r="M111" s="406" t="e">
        <f>L111*Затраты!X$42</f>
        <v>#REF!</v>
      </c>
      <c r="N111" s="408"/>
      <c r="O111" s="405" t="e">
        <f t="shared" si="87"/>
        <v>#REF!</v>
      </c>
      <c r="P111" s="406" t="e">
        <f>O111*Затраты!X$43</f>
        <v>#REF!</v>
      </c>
      <c r="Q111" s="408"/>
      <c r="R111" s="405" t="e">
        <f t="shared" si="88"/>
        <v>#REF!</v>
      </c>
      <c r="S111" s="406"/>
      <c r="T111" s="408"/>
      <c r="U111" s="405" t="e">
        <f t="shared" si="89"/>
        <v>#REF!</v>
      </c>
      <c r="V111" s="406" t="e">
        <f t="shared" si="90"/>
        <v>#REF!</v>
      </c>
      <c r="W111" s="408"/>
      <c r="X111" s="405" t="e">
        <f t="shared" si="91"/>
        <v>#REF!</v>
      </c>
      <c r="Y111" s="409" t="e">
        <f t="shared" si="92"/>
        <v>#REF!</v>
      </c>
      <c r="Z111" s="410"/>
      <c r="AA111" s="562" t="e">
        <f t="shared" si="83"/>
        <v>#REF!</v>
      </c>
    </row>
    <row r="112" spans="1:34">
      <c r="A112" s="563" t="s">
        <v>266</v>
      </c>
      <c r="B112" s="411" t="e">
        <f>'3-10.ДПЖ'!AA110</f>
        <v>#REF!</v>
      </c>
      <c r="C112" s="1354">
        <f t="shared" si="80"/>
        <v>0.68</v>
      </c>
      <c r="D112" s="1355" t="e">
        <f t="shared" si="81"/>
        <v>#REF!</v>
      </c>
      <c r="E112" s="404"/>
      <c r="F112" s="405" t="e">
        <f t="shared" si="84"/>
        <v>#REF!</v>
      </c>
      <c r="G112" s="406" t="e">
        <f t="shared" si="82"/>
        <v>#REF!</v>
      </c>
      <c r="H112" s="404">
        <v>0.4</v>
      </c>
      <c r="I112" s="405" t="e">
        <f t="shared" si="85"/>
        <v>#REF!</v>
      </c>
      <c r="J112" s="406" t="e">
        <f>I112*Затраты!X$41</f>
        <v>#REF!</v>
      </c>
      <c r="K112" s="408">
        <v>0.28000000000000003</v>
      </c>
      <c r="L112" s="405" t="e">
        <f t="shared" si="86"/>
        <v>#REF!</v>
      </c>
      <c r="M112" s="406" t="e">
        <f>L112*Затраты!X$42</f>
        <v>#REF!</v>
      </c>
      <c r="N112" s="408"/>
      <c r="O112" s="405" t="e">
        <f t="shared" si="87"/>
        <v>#REF!</v>
      </c>
      <c r="P112" s="406" t="e">
        <f>O112*Затраты!X$43</f>
        <v>#REF!</v>
      </c>
      <c r="Q112" s="408"/>
      <c r="R112" s="405" t="e">
        <f t="shared" si="88"/>
        <v>#REF!</v>
      </c>
      <c r="S112" s="406"/>
      <c r="T112" s="408"/>
      <c r="U112" s="405" t="e">
        <f t="shared" si="89"/>
        <v>#REF!</v>
      </c>
      <c r="V112" s="406" t="e">
        <f t="shared" si="90"/>
        <v>#REF!</v>
      </c>
      <c r="W112" s="408"/>
      <c r="X112" s="405" t="e">
        <f t="shared" si="91"/>
        <v>#REF!</v>
      </c>
      <c r="Y112" s="409" t="e">
        <f t="shared" si="92"/>
        <v>#REF!</v>
      </c>
      <c r="Z112" s="410"/>
      <c r="AA112" s="562" t="e">
        <f t="shared" si="83"/>
        <v>#REF!</v>
      </c>
    </row>
    <row r="113" spans="1:34">
      <c r="A113" s="563" t="s">
        <v>269</v>
      </c>
      <c r="B113" s="411" t="e">
        <f>'3-10.ДПЖ'!AA111</f>
        <v>#REF!</v>
      </c>
      <c r="C113" s="1354">
        <f t="shared" si="80"/>
        <v>0.68</v>
      </c>
      <c r="D113" s="1355" t="e">
        <f t="shared" si="81"/>
        <v>#REF!</v>
      </c>
      <c r="E113" s="404"/>
      <c r="F113" s="405" t="e">
        <f t="shared" si="84"/>
        <v>#REF!</v>
      </c>
      <c r="G113" s="406" t="e">
        <f t="shared" si="82"/>
        <v>#REF!</v>
      </c>
      <c r="H113" s="404">
        <v>0.4</v>
      </c>
      <c r="I113" s="405" t="e">
        <f t="shared" si="85"/>
        <v>#REF!</v>
      </c>
      <c r="J113" s="406" t="e">
        <f>I113*Затраты!X$41</f>
        <v>#REF!</v>
      </c>
      <c r="K113" s="408">
        <v>0.28000000000000003</v>
      </c>
      <c r="L113" s="405" t="e">
        <f t="shared" si="86"/>
        <v>#REF!</v>
      </c>
      <c r="M113" s="406" t="e">
        <f>L113*Затраты!X$42</f>
        <v>#REF!</v>
      </c>
      <c r="N113" s="408"/>
      <c r="O113" s="405" t="e">
        <f t="shared" si="87"/>
        <v>#REF!</v>
      </c>
      <c r="P113" s="406" t="e">
        <f>O113*Затраты!X$43</f>
        <v>#REF!</v>
      </c>
      <c r="Q113" s="408"/>
      <c r="R113" s="405" t="e">
        <f t="shared" si="88"/>
        <v>#REF!</v>
      </c>
      <c r="S113" s="406"/>
      <c r="T113" s="408"/>
      <c r="U113" s="405" t="e">
        <f t="shared" si="89"/>
        <v>#REF!</v>
      </c>
      <c r="V113" s="406" t="e">
        <f t="shared" si="90"/>
        <v>#REF!</v>
      </c>
      <c r="W113" s="408"/>
      <c r="X113" s="405" t="e">
        <f t="shared" si="91"/>
        <v>#REF!</v>
      </c>
      <c r="Y113" s="409" t="e">
        <f t="shared" si="92"/>
        <v>#REF!</v>
      </c>
      <c r="Z113" s="410"/>
      <c r="AA113" s="562" t="e">
        <f t="shared" si="83"/>
        <v>#REF!</v>
      </c>
    </row>
    <row r="114" spans="1:34">
      <c r="A114" s="564" t="s">
        <v>270</v>
      </c>
      <c r="B114" s="411" t="e">
        <f>'3-10.ДПЖ'!AA112</f>
        <v>#REF!</v>
      </c>
      <c r="C114" s="1354">
        <f t="shared" si="80"/>
        <v>0.69000000000000006</v>
      </c>
      <c r="D114" s="1355" t="e">
        <f t="shared" si="81"/>
        <v>#REF!</v>
      </c>
      <c r="E114" s="404"/>
      <c r="F114" s="405" t="e">
        <f t="shared" si="84"/>
        <v>#REF!</v>
      </c>
      <c r="G114" s="406" t="e">
        <f t="shared" si="82"/>
        <v>#REF!</v>
      </c>
      <c r="H114" s="404">
        <v>0.3</v>
      </c>
      <c r="I114" s="405" t="e">
        <f>B114*H114</f>
        <v>#REF!</v>
      </c>
      <c r="J114" s="406" t="e">
        <f>I114*Затраты!X$41</f>
        <v>#REF!</v>
      </c>
      <c r="K114" s="408">
        <v>0.24</v>
      </c>
      <c r="L114" s="405" t="e">
        <f t="shared" si="86"/>
        <v>#REF!</v>
      </c>
      <c r="M114" s="406" t="e">
        <f>L114*Затраты!X$42</f>
        <v>#REF!</v>
      </c>
      <c r="N114" s="408"/>
      <c r="O114" s="405" t="e">
        <f t="shared" si="87"/>
        <v>#REF!</v>
      </c>
      <c r="P114" s="406" t="e">
        <f>O114*Затраты!X$43</f>
        <v>#REF!</v>
      </c>
      <c r="Q114" s="408"/>
      <c r="R114" s="405" t="e">
        <f t="shared" si="88"/>
        <v>#REF!</v>
      </c>
      <c r="S114" s="406"/>
      <c r="T114" s="408">
        <v>0.15</v>
      </c>
      <c r="U114" s="405" t="e">
        <f t="shared" si="89"/>
        <v>#REF!</v>
      </c>
      <c r="V114" s="406" t="e">
        <f>+U114*45</f>
        <v>#REF!</v>
      </c>
      <c r="W114" s="408"/>
      <c r="X114" s="405" t="e">
        <f t="shared" si="91"/>
        <v>#REF!</v>
      </c>
      <c r="Y114" s="409" t="e">
        <f t="shared" si="92"/>
        <v>#REF!</v>
      </c>
      <c r="Z114" s="412"/>
      <c r="AA114" s="562" t="e">
        <f t="shared" si="83"/>
        <v>#REF!</v>
      </c>
    </row>
    <row r="115" spans="1:34" ht="12" thickBot="1">
      <c r="A115" s="565" t="s">
        <v>272</v>
      </c>
      <c r="B115" s="566" t="e">
        <f>'3-10.ДПЖ'!AA113</f>
        <v>#REF!</v>
      </c>
      <c r="C115" s="1356">
        <f t="shared" si="80"/>
        <v>0.69000000000000006</v>
      </c>
      <c r="D115" s="1357" t="e">
        <f t="shared" si="81"/>
        <v>#REF!</v>
      </c>
      <c r="E115" s="567"/>
      <c r="F115" s="570" t="e">
        <f t="shared" si="84"/>
        <v>#REF!</v>
      </c>
      <c r="G115" s="569" t="e">
        <f t="shared" si="82"/>
        <v>#REF!</v>
      </c>
      <c r="H115" s="567">
        <v>0.3</v>
      </c>
      <c r="I115" s="570" t="e">
        <f>B115*H115</f>
        <v>#REF!</v>
      </c>
      <c r="J115" s="569" t="e">
        <f>I115*Затраты!X$41</f>
        <v>#REF!</v>
      </c>
      <c r="K115" s="571">
        <v>0.24</v>
      </c>
      <c r="L115" s="570" t="e">
        <f t="shared" si="86"/>
        <v>#REF!</v>
      </c>
      <c r="M115" s="569" t="e">
        <f>L115*Затраты!X$42</f>
        <v>#REF!</v>
      </c>
      <c r="N115" s="571"/>
      <c r="O115" s="570" t="e">
        <f t="shared" si="87"/>
        <v>#REF!</v>
      </c>
      <c r="P115" s="569" t="e">
        <f>O115*Затраты!X$43</f>
        <v>#REF!</v>
      </c>
      <c r="Q115" s="571"/>
      <c r="R115" s="570" t="e">
        <f t="shared" si="88"/>
        <v>#REF!</v>
      </c>
      <c r="S115" s="569"/>
      <c r="T115" s="571">
        <v>0.15</v>
      </c>
      <c r="U115" s="570" t="e">
        <f t="shared" si="89"/>
        <v>#REF!</v>
      </c>
      <c r="V115" s="569" t="e">
        <f>+U115*45</f>
        <v>#REF!</v>
      </c>
      <c r="W115" s="571"/>
      <c r="X115" s="570" t="e">
        <f t="shared" si="91"/>
        <v>#REF!</v>
      </c>
      <c r="Y115" s="572" t="e">
        <f t="shared" si="92"/>
        <v>#REF!</v>
      </c>
      <c r="Z115" s="573"/>
      <c r="AA115" s="574" t="e">
        <f t="shared" si="83"/>
        <v>#REF!</v>
      </c>
    </row>
    <row r="116" spans="1:34" ht="12" thickTop="1">
      <c r="A116" s="549" t="s">
        <v>336</v>
      </c>
    </row>
    <row r="117" spans="1:34" ht="12" thickBot="1">
      <c r="A117" s="413">
        <f>+A94+1</f>
        <v>2024</v>
      </c>
      <c r="E117" s="357" t="s">
        <v>469</v>
      </c>
      <c r="AA117" s="1294" t="s">
        <v>550</v>
      </c>
    </row>
    <row r="118" spans="1:34" ht="12.75" thickTop="1" thickBot="1">
      <c r="A118" s="2081" t="s">
        <v>224</v>
      </c>
      <c r="B118" s="2083" t="s">
        <v>308</v>
      </c>
      <c r="C118" s="2085" t="s">
        <v>309</v>
      </c>
      <c r="D118" s="2086"/>
      <c r="E118" s="2089" t="s">
        <v>310</v>
      </c>
      <c r="F118" s="2089"/>
      <c r="G118" s="2089"/>
      <c r="H118" s="2089"/>
      <c r="I118" s="2089"/>
      <c r="J118" s="2089"/>
      <c r="K118" s="2089"/>
      <c r="L118" s="2089"/>
      <c r="M118" s="2089"/>
      <c r="N118" s="2089"/>
      <c r="O118" s="2089"/>
      <c r="P118" s="2089"/>
      <c r="Q118" s="2089"/>
      <c r="R118" s="2089"/>
      <c r="S118" s="2089"/>
      <c r="T118" s="2089"/>
      <c r="U118" s="2089"/>
      <c r="V118" s="2089"/>
      <c r="W118" s="2089"/>
      <c r="X118" s="2089"/>
      <c r="Y118" s="2090"/>
      <c r="Z118" s="2091" t="s">
        <v>311</v>
      </c>
      <c r="AA118" s="2075" t="s">
        <v>312</v>
      </c>
    </row>
    <row r="119" spans="1:34" ht="11.25" customHeight="1">
      <c r="A119" s="2082"/>
      <c r="B119" s="2084"/>
      <c r="C119" s="2087"/>
      <c r="D119" s="2088"/>
      <c r="E119" s="2077" t="s">
        <v>313</v>
      </c>
      <c r="F119" s="2078"/>
      <c r="G119" s="2079"/>
      <c r="H119" s="2077" t="s">
        <v>210</v>
      </c>
      <c r="I119" s="2078"/>
      <c r="J119" s="2079"/>
      <c r="K119" s="2093" t="s">
        <v>338</v>
      </c>
      <c r="L119" s="2094"/>
      <c r="M119" s="2095"/>
      <c r="N119" s="2077" t="s">
        <v>337</v>
      </c>
      <c r="O119" s="2078"/>
      <c r="P119" s="2079"/>
      <c r="Q119" s="2077" t="s">
        <v>278</v>
      </c>
      <c r="R119" s="2078"/>
      <c r="S119" s="2079"/>
      <c r="T119" s="2077" t="s">
        <v>330</v>
      </c>
      <c r="U119" s="2078"/>
      <c r="V119" s="2079"/>
      <c r="W119" s="2077" t="s">
        <v>468</v>
      </c>
      <c r="X119" s="2078"/>
      <c r="Y119" s="2080"/>
      <c r="Z119" s="2092"/>
      <c r="AA119" s="2076"/>
    </row>
    <row r="120" spans="1:34" ht="33.75">
      <c r="A120" s="2082"/>
      <c r="B120" s="2084"/>
      <c r="C120" s="907" t="s">
        <v>314</v>
      </c>
      <c r="D120" s="908" t="s">
        <v>315</v>
      </c>
      <c r="E120" s="361" t="s">
        <v>316</v>
      </c>
      <c r="F120" s="362" t="s">
        <v>315</v>
      </c>
      <c r="G120" s="363" t="s">
        <v>317</v>
      </c>
      <c r="H120" s="361" t="s">
        <v>318</v>
      </c>
      <c r="I120" s="362" t="s">
        <v>315</v>
      </c>
      <c r="J120" s="363" t="s">
        <v>317</v>
      </c>
      <c r="K120" s="361" t="s">
        <v>316</v>
      </c>
      <c r="L120" s="362" t="s">
        <v>315</v>
      </c>
      <c r="M120" s="363" t="s">
        <v>317</v>
      </c>
      <c r="N120" s="361" t="s">
        <v>316</v>
      </c>
      <c r="O120" s="362" t="s">
        <v>315</v>
      </c>
      <c r="P120" s="363" t="s">
        <v>317</v>
      </c>
      <c r="Q120" s="361" t="s">
        <v>314</v>
      </c>
      <c r="R120" s="362" t="s">
        <v>315</v>
      </c>
      <c r="S120" s="363" t="s">
        <v>317</v>
      </c>
      <c r="T120" s="361" t="s">
        <v>316</v>
      </c>
      <c r="U120" s="362" t="s">
        <v>315</v>
      </c>
      <c r="V120" s="363" t="s">
        <v>317</v>
      </c>
      <c r="W120" s="361" t="s">
        <v>316</v>
      </c>
      <c r="X120" s="362" t="s">
        <v>315</v>
      </c>
      <c r="Y120" s="364" t="s">
        <v>317</v>
      </c>
      <c r="Z120" s="2092"/>
      <c r="AA120" s="2076"/>
    </row>
    <row r="121" spans="1:34" ht="12" thickBot="1">
      <c r="A121" s="553" t="s">
        <v>305</v>
      </c>
      <c r="B121" s="365">
        <v>1</v>
      </c>
      <c r="C121" s="366">
        <v>2</v>
      </c>
      <c r="D121" s="367">
        <v>3</v>
      </c>
      <c r="E121" s="368">
        <v>2</v>
      </c>
      <c r="F121" s="369">
        <v>3</v>
      </c>
      <c r="G121" s="370">
        <v>4</v>
      </c>
      <c r="H121" s="368">
        <v>5</v>
      </c>
      <c r="I121" s="369">
        <v>6</v>
      </c>
      <c r="J121" s="370">
        <v>7</v>
      </c>
      <c r="K121" s="371">
        <v>8</v>
      </c>
      <c r="L121" s="372">
        <v>9</v>
      </c>
      <c r="M121" s="370">
        <v>10</v>
      </c>
      <c r="N121" s="368">
        <v>11</v>
      </c>
      <c r="O121" s="369">
        <v>12</v>
      </c>
      <c r="P121" s="370">
        <v>13</v>
      </c>
      <c r="Q121" s="368">
        <v>14</v>
      </c>
      <c r="R121" s="369">
        <v>15</v>
      </c>
      <c r="S121" s="370">
        <v>16</v>
      </c>
      <c r="T121" s="368">
        <v>17</v>
      </c>
      <c r="U121" s="369">
        <v>18</v>
      </c>
      <c r="V121" s="370">
        <v>19</v>
      </c>
      <c r="W121" s="368">
        <v>20</v>
      </c>
      <c r="X121" s="369">
        <v>21</v>
      </c>
      <c r="Y121" s="373">
        <v>22</v>
      </c>
      <c r="Z121" s="368">
        <v>55</v>
      </c>
      <c r="AA121" s="554">
        <v>23</v>
      </c>
    </row>
    <row r="122" spans="1:34">
      <c r="A122" s="575"/>
      <c r="B122" s="424"/>
      <c r="C122" s="425"/>
      <c r="D122" s="426"/>
      <c r="E122" s="377"/>
      <c r="F122" s="378"/>
      <c r="G122" s="379"/>
      <c r="H122" s="377"/>
      <c r="I122" s="378"/>
      <c r="J122" s="379"/>
      <c r="K122" s="380"/>
      <c r="L122" s="381"/>
      <c r="M122" s="379"/>
      <c r="N122" s="377"/>
      <c r="O122" s="378"/>
      <c r="P122" s="379"/>
      <c r="Q122" s="377"/>
      <c r="R122" s="378"/>
      <c r="S122" s="379"/>
      <c r="T122" s="377"/>
      <c r="U122" s="378"/>
      <c r="V122" s="379"/>
      <c r="W122" s="427"/>
      <c r="X122" s="428"/>
      <c r="Y122" s="429"/>
      <c r="Z122" s="427"/>
      <c r="AA122" s="576"/>
    </row>
    <row r="123" spans="1:34">
      <c r="A123" s="557" t="s">
        <v>306</v>
      </c>
      <c r="B123" s="383" t="e">
        <f>B124+B127</f>
        <v>#REF!</v>
      </c>
      <c r="C123" s="384"/>
      <c r="D123" s="385"/>
      <c r="E123" s="386">
        <f t="shared" ref="E123:Y123" si="93">E124+E127</f>
        <v>0</v>
      </c>
      <c r="F123" s="387" t="e">
        <f t="shared" si="93"/>
        <v>#REF!</v>
      </c>
      <c r="G123" s="389" t="e">
        <f t="shared" si="93"/>
        <v>#REF!</v>
      </c>
      <c r="H123" s="386">
        <f t="shared" si="93"/>
        <v>15.5</v>
      </c>
      <c r="I123" s="387" t="e">
        <f t="shared" si="93"/>
        <v>#REF!</v>
      </c>
      <c r="J123" s="389" t="e">
        <f t="shared" si="93"/>
        <v>#DIV/0!</v>
      </c>
      <c r="K123" s="386">
        <f t="shared" si="93"/>
        <v>3.9400000000000008</v>
      </c>
      <c r="L123" s="387" t="e">
        <f t="shared" si="93"/>
        <v>#REF!</v>
      </c>
      <c r="M123" s="389" t="e">
        <f t="shared" si="93"/>
        <v>#REF!</v>
      </c>
      <c r="N123" s="386">
        <f t="shared" si="93"/>
        <v>0.36</v>
      </c>
      <c r="O123" s="387" t="e">
        <f t="shared" si="93"/>
        <v>#REF!</v>
      </c>
      <c r="P123" s="389" t="e">
        <f t="shared" si="93"/>
        <v>#REF!</v>
      </c>
      <c r="Q123" s="386">
        <f t="shared" si="93"/>
        <v>0</v>
      </c>
      <c r="R123" s="387" t="e">
        <f t="shared" si="93"/>
        <v>#REF!</v>
      </c>
      <c r="S123" s="389">
        <f t="shared" si="93"/>
        <v>0</v>
      </c>
      <c r="T123" s="386">
        <f t="shared" si="93"/>
        <v>0.3</v>
      </c>
      <c r="U123" s="387" t="e">
        <f t="shared" si="93"/>
        <v>#REF!</v>
      </c>
      <c r="V123" s="389" t="e">
        <f t="shared" si="93"/>
        <v>#REF!</v>
      </c>
      <c r="W123" s="386">
        <f t="shared" si="93"/>
        <v>0</v>
      </c>
      <c r="X123" s="387" t="e">
        <f t="shared" si="93"/>
        <v>#REF!</v>
      </c>
      <c r="Y123" s="416" t="e">
        <f t="shared" si="93"/>
        <v>#REF!</v>
      </c>
      <c r="Z123" s="386">
        <f>Z124+Z127</f>
        <v>0</v>
      </c>
      <c r="AA123" s="558" t="e">
        <f>AA124+AA127</f>
        <v>#REF!</v>
      </c>
    </row>
    <row r="124" spans="1:34" ht="21">
      <c r="A124" s="559" t="s">
        <v>319</v>
      </c>
      <c r="B124" s="393" t="e">
        <f>SUM(B125:B126)</f>
        <v>#REF!</v>
      </c>
      <c r="C124" s="394">
        <f t="shared" ref="C124:G124" si="94">SUM(C125:C126)</f>
        <v>2.96</v>
      </c>
      <c r="D124" s="395" t="e">
        <f t="shared" si="94"/>
        <v>#REF!</v>
      </c>
      <c r="E124" s="396">
        <f t="shared" si="94"/>
        <v>0</v>
      </c>
      <c r="F124" s="397" t="e">
        <f t="shared" si="94"/>
        <v>#REF!</v>
      </c>
      <c r="G124" s="402" t="e">
        <f t="shared" si="94"/>
        <v>#REF!</v>
      </c>
      <c r="H124" s="396">
        <f>SUM(H125:H126)</f>
        <v>2</v>
      </c>
      <c r="I124" s="397" t="e">
        <f t="shared" ref="I124:Z124" si="95">SUM(I125:I126)</f>
        <v>#REF!</v>
      </c>
      <c r="J124" s="402" t="e">
        <f t="shared" si="95"/>
        <v>#DIV/0!</v>
      </c>
      <c r="K124" s="396">
        <f t="shared" si="95"/>
        <v>0.6</v>
      </c>
      <c r="L124" s="397" t="e">
        <f t="shared" si="95"/>
        <v>#REF!</v>
      </c>
      <c r="M124" s="402" t="e">
        <f t="shared" si="95"/>
        <v>#REF!</v>
      </c>
      <c r="N124" s="396">
        <f t="shared" si="95"/>
        <v>0.36</v>
      </c>
      <c r="O124" s="397" t="e">
        <f t="shared" si="95"/>
        <v>#REF!</v>
      </c>
      <c r="P124" s="402" t="e">
        <f t="shared" si="95"/>
        <v>#REF!</v>
      </c>
      <c r="Q124" s="396">
        <f t="shared" si="95"/>
        <v>0</v>
      </c>
      <c r="R124" s="397" t="e">
        <f t="shared" si="95"/>
        <v>#REF!</v>
      </c>
      <c r="S124" s="402">
        <f t="shared" si="95"/>
        <v>0</v>
      </c>
      <c r="T124" s="396">
        <f t="shared" si="95"/>
        <v>0</v>
      </c>
      <c r="U124" s="397" t="e">
        <f t="shared" si="95"/>
        <v>#REF!</v>
      </c>
      <c r="V124" s="402" t="e">
        <f t="shared" si="95"/>
        <v>#REF!</v>
      </c>
      <c r="W124" s="396">
        <f t="shared" si="95"/>
        <v>0</v>
      </c>
      <c r="X124" s="397" t="e">
        <f t="shared" si="95"/>
        <v>#REF!</v>
      </c>
      <c r="Y124" s="417" t="e">
        <f t="shared" si="95"/>
        <v>#REF!</v>
      </c>
      <c r="Z124" s="396">
        <f t="shared" si="95"/>
        <v>0</v>
      </c>
      <c r="AA124" s="560" t="e">
        <f>SUM(AA125:AA126)</f>
        <v>#REF!</v>
      </c>
      <c r="AD124" s="2096" t="s">
        <v>77</v>
      </c>
      <c r="AE124" s="2096"/>
      <c r="AF124" s="2096"/>
      <c r="AG124" s="2096"/>
      <c r="AH124" s="2096"/>
    </row>
    <row r="125" spans="1:34">
      <c r="A125" s="561" t="s">
        <v>244</v>
      </c>
      <c r="B125" s="403" t="e">
        <f>'3-10.ДПЖ'!AA124</f>
        <v>#REF!</v>
      </c>
      <c r="C125" s="1354">
        <f t="shared" ref="C125:C126" si="96">+E125+H125+K125+N125+T125</f>
        <v>0</v>
      </c>
      <c r="D125" s="1355" t="e">
        <f t="shared" ref="D125:D126" si="97">+F125+I125+L125+O125+U125</f>
        <v>#REF!</v>
      </c>
      <c r="E125" s="404"/>
      <c r="F125" s="405" t="e">
        <f>E125*B125</f>
        <v>#REF!</v>
      </c>
      <c r="G125" s="406" t="e">
        <f t="shared" ref="G125:G126" si="98">F125*20</f>
        <v>#REF!</v>
      </c>
      <c r="H125" s="404"/>
      <c r="I125" s="405"/>
      <c r="J125" s="406" t="e">
        <f>I125*Затраты!X$50</f>
        <v>#DIV/0!</v>
      </c>
      <c r="K125" s="407"/>
      <c r="L125" s="405" t="e">
        <f>B125*K125</f>
        <v>#REF!</v>
      </c>
      <c r="M125" s="406" t="e">
        <f>L125*Затраты!X$51</f>
        <v>#REF!</v>
      </c>
      <c r="N125" s="408"/>
      <c r="O125" s="405" t="e">
        <f>B125*N125</f>
        <v>#REF!</v>
      </c>
      <c r="P125" s="406" t="e">
        <f>O125*Затраты!X$52</f>
        <v>#REF!</v>
      </c>
      <c r="Q125" s="408"/>
      <c r="R125" s="405" t="e">
        <f>B125*Q125</f>
        <v>#REF!</v>
      </c>
      <c r="S125" s="406"/>
      <c r="T125" s="408"/>
      <c r="U125" s="405" t="e">
        <f>B125*T125</f>
        <v>#REF!</v>
      </c>
      <c r="V125" s="406" t="e">
        <f>U125*20</f>
        <v>#REF!</v>
      </c>
      <c r="W125" s="408"/>
      <c r="X125" s="405" t="e">
        <f>B125*W125</f>
        <v>#REF!</v>
      </c>
      <c r="Y125" s="409" t="e">
        <f>X125*15</f>
        <v>#REF!</v>
      </c>
      <c r="Z125" s="419"/>
      <c r="AA125" s="562" t="e">
        <f>G125+J125+P125+S125+V125+Y125+Z125+M125</f>
        <v>#REF!</v>
      </c>
    </row>
    <row r="126" spans="1:34">
      <c r="A126" s="561" t="s">
        <v>260</v>
      </c>
      <c r="B126" s="403" t="e">
        <f>'3-10.ДПЖ'!AA125</f>
        <v>#REF!</v>
      </c>
      <c r="C126" s="1354">
        <f t="shared" si="96"/>
        <v>2.96</v>
      </c>
      <c r="D126" s="1355" t="e">
        <f t="shared" si="97"/>
        <v>#REF!</v>
      </c>
      <c r="E126" s="404"/>
      <c r="F126" s="405" t="e">
        <f>E126*B126</f>
        <v>#REF!</v>
      </c>
      <c r="G126" s="406" t="e">
        <f t="shared" si="98"/>
        <v>#REF!</v>
      </c>
      <c r="H126" s="404">
        <v>2</v>
      </c>
      <c r="I126" s="405" t="e">
        <f>B126*H126</f>
        <v>#REF!</v>
      </c>
      <c r="J126" s="406" t="e">
        <f>I126*Затраты!X$50</f>
        <v>#REF!</v>
      </c>
      <c r="K126" s="407">
        <v>0.6</v>
      </c>
      <c r="L126" s="405" t="e">
        <f>B126*K126</f>
        <v>#REF!</v>
      </c>
      <c r="M126" s="406" t="e">
        <f>L126*Затраты!X$51</f>
        <v>#REF!</v>
      </c>
      <c r="N126" s="408">
        <v>0.36</v>
      </c>
      <c r="O126" s="405" t="e">
        <f>B126*N126</f>
        <v>#REF!</v>
      </c>
      <c r="P126" s="406" t="e">
        <f>O126*Затраты!X$52</f>
        <v>#REF!</v>
      </c>
      <c r="Q126" s="408"/>
      <c r="R126" s="405" t="e">
        <f>B126*Q126</f>
        <v>#REF!</v>
      </c>
      <c r="S126" s="406"/>
      <c r="T126" s="408"/>
      <c r="U126" s="405" t="e">
        <f>B126*T126</f>
        <v>#REF!</v>
      </c>
      <c r="V126" s="406" t="e">
        <f>U126*20</f>
        <v>#REF!</v>
      </c>
      <c r="W126" s="408"/>
      <c r="X126" s="405" t="e">
        <f>B126*W126</f>
        <v>#REF!</v>
      </c>
      <c r="Y126" s="409" t="e">
        <f>X126*15</f>
        <v>#REF!</v>
      </c>
      <c r="Z126" s="419"/>
      <c r="AA126" s="562" t="e">
        <f>G126+J126+P126+S126+V126+Y126+Z126+M126</f>
        <v>#REF!</v>
      </c>
    </row>
    <row r="127" spans="1:34" ht="21">
      <c r="A127" s="559" t="s">
        <v>320</v>
      </c>
      <c r="B127" s="393" t="e">
        <f>SUM(B128:B138)</f>
        <v>#REF!</v>
      </c>
      <c r="C127" s="394">
        <f t="shared" ref="C127:AA127" si="99">SUM(C128:C138)</f>
        <v>17.14</v>
      </c>
      <c r="D127" s="395" t="e">
        <f t="shared" si="99"/>
        <v>#REF!</v>
      </c>
      <c r="E127" s="396">
        <f t="shared" si="99"/>
        <v>0</v>
      </c>
      <c r="F127" s="397" t="e">
        <f t="shared" si="99"/>
        <v>#REF!</v>
      </c>
      <c r="G127" s="398" t="e">
        <f t="shared" si="99"/>
        <v>#REF!</v>
      </c>
      <c r="H127" s="396">
        <f t="shared" si="99"/>
        <v>13.5</v>
      </c>
      <c r="I127" s="397" t="e">
        <f t="shared" si="99"/>
        <v>#REF!</v>
      </c>
      <c r="J127" s="402" t="e">
        <f t="shared" si="99"/>
        <v>#REF!</v>
      </c>
      <c r="K127" s="396">
        <f t="shared" si="99"/>
        <v>3.3400000000000007</v>
      </c>
      <c r="L127" s="397" t="e">
        <f t="shared" si="99"/>
        <v>#REF!</v>
      </c>
      <c r="M127" s="402" t="e">
        <f t="shared" si="99"/>
        <v>#REF!</v>
      </c>
      <c r="N127" s="396">
        <f t="shared" si="99"/>
        <v>0</v>
      </c>
      <c r="O127" s="397" t="e">
        <f t="shared" si="99"/>
        <v>#REF!</v>
      </c>
      <c r="P127" s="402" t="e">
        <f t="shared" si="99"/>
        <v>#REF!</v>
      </c>
      <c r="Q127" s="396">
        <f t="shared" si="99"/>
        <v>0</v>
      </c>
      <c r="R127" s="397" t="e">
        <f t="shared" si="99"/>
        <v>#REF!</v>
      </c>
      <c r="S127" s="402">
        <f t="shared" si="99"/>
        <v>0</v>
      </c>
      <c r="T127" s="396">
        <f t="shared" si="99"/>
        <v>0.3</v>
      </c>
      <c r="U127" s="397" t="e">
        <f t="shared" si="99"/>
        <v>#REF!</v>
      </c>
      <c r="V127" s="402" t="e">
        <f t="shared" si="99"/>
        <v>#REF!</v>
      </c>
      <c r="W127" s="396">
        <f t="shared" si="99"/>
        <v>0</v>
      </c>
      <c r="X127" s="397" t="e">
        <f t="shared" si="99"/>
        <v>#REF!</v>
      </c>
      <c r="Y127" s="417" t="e">
        <f t="shared" si="99"/>
        <v>#REF!</v>
      </c>
      <c r="Z127" s="396">
        <f t="shared" si="99"/>
        <v>0</v>
      </c>
      <c r="AA127" s="560" t="e">
        <f t="shared" si="99"/>
        <v>#REF!</v>
      </c>
    </row>
    <row r="128" spans="1:34">
      <c r="A128" s="563" t="s">
        <v>258</v>
      </c>
      <c r="B128" s="411" t="e">
        <f>'3-10.ДПЖ'!AA126</f>
        <v>#REF!</v>
      </c>
      <c r="C128" s="1354">
        <f t="shared" ref="C128:C138" si="100">+E128+H128+K128+N128+T128</f>
        <v>2</v>
      </c>
      <c r="D128" s="1355" t="e">
        <f t="shared" ref="D128:D138" si="101">+F128+I128+L128+O128+U128</f>
        <v>#REF!</v>
      </c>
      <c r="E128" s="404"/>
      <c r="F128" s="405" t="e">
        <f>E128*B128</f>
        <v>#REF!</v>
      </c>
      <c r="G128" s="406" t="e">
        <f t="shared" ref="G128:G138" si="102">F128*20</f>
        <v>#REF!</v>
      </c>
      <c r="H128" s="404">
        <v>2</v>
      </c>
      <c r="I128" s="405" t="e">
        <f>B128*H128</f>
        <v>#REF!</v>
      </c>
      <c r="J128" s="406" t="e">
        <f>I128*Затраты!X$50</f>
        <v>#REF!</v>
      </c>
      <c r="K128" s="408"/>
      <c r="L128" s="405" t="e">
        <f>B128*K128</f>
        <v>#REF!</v>
      </c>
      <c r="M128" s="406" t="e">
        <f>L128*Затраты!X$51</f>
        <v>#REF!</v>
      </c>
      <c r="N128" s="408"/>
      <c r="O128" s="405" t="e">
        <f>B128*N128</f>
        <v>#REF!</v>
      </c>
      <c r="P128" s="406" t="e">
        <f>O128*Затраты!X$52</f>
        <v>#REF!</v>
      </c>
      <c r="Q128" s="408"/>
      <c r="R128" s="405" t="e">
        <f>B128*Q128</f>
        <v>#REF!</v>
      </c>
      <c r="S128" s="406"/>
      <c r="T128" s="408"/>
      <c r="U128" s="405" t="e">
        <f>B128*T128</f>
        <v>#REF!</v>
      </c>
      <c r="V128" s="406" t="e">
        <f>U128*20</f>
        <v>#REF!</v>
      </c>
      <c r="W128" s="408"/>
      <c r="X128" s="405" t="e">
        <f>B128*W128</f>
        <v>#REF!</v>
      </c>
      <c r="Y128" s="409" t="e">
        <f>X128*15</f>
        <v>#REF!</v>
      </c>
      <c r="Z128" s="410"/>
      <c r="AA128" s="562" t="e">
        <f t="shared" ref="AA128:AA138" si="103">G128+J128+P128+S128+V128+Y128+Z128+M128</f>
        <v>#REF!</v>
      </c>
    </row>
    <row r="129" spans="1:27">
      <c r="A129" s="563" t="s">
        <v>261</v>
      </c>
      <c r="B129" s="411" t="e">
        <f>'3-10.ДПЖ'!AA127</f>
        <v>#REF!</v>
      </c>
      <c r="C129" s="1354">
        <f t="shared" si="100"/>
        <v>3.1</v>
      </c>
      <c r="D129" s="1355" t="e">
        <f t="shared" si="101"/>
        <v>#REF!</v>
      </c>
      <c r="E129" s="404"/>
      <c r="F129" s="405" t="e">
        <f t="shared" ref="F129:F138" si="104">E129*B129</f>
        <v>#REF!</v>
      </c>
      <c r="G129" s="406" t="e">
        <f t="shared" si="102"/>
        <v>#REF!</v>
      </c>
      <c r="H129" s="404">
        <v>2.5</v>
      </c>
      <c r="I129" s="405" t="e">
        <f t="shared" ref="I129:I136" si="105">B129*H129</f>
        <v>#REF!</v>
      </c>
      <c r="J129" s="406" t="e">
        <f>I129*Затраты!X$50</f>
        <v>#REF!</v>
      </c>
      <c r="K129" s="408">
        <v>0.6</v>
      </c>
      <c r="L129" s="405" t="e">
        <f t="shared" ref="L129:L138" si="106">B129*K129</f>
        <v>#REF!</v>
      </c>
      <c r="M129" s="406" t="e">
        <f>L129*Затраты!X$51</f>
        <v>#REF!</v>
      </c>
      <c r="N129" s="408"/>
      <c r="O129" s="405" t="e">
        <f t="shared" ref="O129:O138" si="107">B129*N129</f>
        <v>#REF!</v>
      </c>
      <c r="P129" s="406" t="e">
        <f>O129*Затраты!X$52</f>
        <v>#REF!</v>
      </c>
      <c r="Q129" s="408"/>
      <c r="R129" s="405" t="e">
        <f t="shared" ref="R129:R138" si="108">B129*Q129</f>
        <v>#REF!</v>
      </c>
      <c r="S129" s="406"/>
      <c r="T129" s="408"/>
      <c r="U129" s="405" t="e">
        <f t="shared" ref="U129:U138" si="109">B129*T129</f>
        <v>#REF!</v>
      </c>
      <c r="V129" s="406" t="e">
        <f t="shared" ref="V129:V136" si="110">U129*20</f>
        <v>#REF!</v>
      </c>
      <c r="W129" s="408"/>
      <c r="X129" s="405" t="e">
        <f t="shared" ref="X129:X138" si="111">B129*W129</f>
        <v>#REF!</v>
      </c>
      <c r="Y129" s="409" t="e">
        <f t="shared" ref="Y129:Y138" si="112">X129*15</f>
        <v>#REF!</v>
      </c>
      <c r="Z129" s="410"/>
      <c r="AA129" s="562" t="e">
        <f t="shared" si="103"/>
        <v>#REF!</v>
      </c>
    </row>
    <row r="130" spans="1:27">
      <c r="A130" s="563" t="s">
        <v>263</v>
      </c>
      <c r="B130" s="411" t="e">
        <f>'3-10.ДПЖ'!AA128</f>
        <v>#REF!</v>
      </c>
      <c r="C130" s="1354">
        <f t="shared" si="100"/>
        <v>2.4</v>
      </c>
      <c r="D130" s="1355" t="e">
        <f t="shared" si="101"/>
        <v>#REF!</v>
      </c>
      <c r="E130" s="404"/>
      <c r="F130" s="405" t="e">
        <f t="shared" si="104"/>
        <v>#REF!</v>
      </c>
      <c r="G130" s="406" t="e">
        <f t="shared" si="102"/>
        <v>#REF!</v>
      </c>
      <c r="H130" s="404">
        <v>2</v>
      </c>
      <c r="I130" s="405" t="e">
        <f t="shared" si="105"/>
        <v>#REF!</v>
      </c>
      <c r="J130" s="406" t="e">
        <f>I130*Затраты!X$50</f>
        <v>#REF!</v>
      </c>
      <c r="K130" s="408">
        <v>0.4</v>
      </c>
      <c r="L130" s="405" t="e">
        <f t="shared" si="106"/>
        <v>#REF!</v>
      </c>
      <c r="M130" s="406" t="e">
        <f>L130*Затраты!X$51</f>
        <v>#REF!</v>
      </c>
      <c r="N130" s="408"/>
      <c r="O130" s="405" t="e">
        <f t="shared" si="107"/>
        <v>#REF!</v>
      </c>
      <c r="P130" s="406" t="e">
        <f>O130*Затраты!X$52</f>
        <v>#REF!</v>
      </c>
      <c r="Q130" s="408"/>
      <c r="R130" s="405" t="e">
        <f t="shared" si="108"/>
        <v>#REF!</v>
      </c>
      <c r="S130" s="406"/>
      <c r="T130" s="408"/>
      <c r="U130" s="405" t="e">
        <f t="shared" si="109"/>
        <v>#REF!</v>
      </c>
      <c r="V130" s="406" t="e">
        <f t="shared" si="110"/>
        <v>#REF!</v>
      </c>
      <c r="W130" s="408"/>
      <c r="X130" s="405" t="e">
        <f t="shared" si="111"/>
        <v>#REF!</v>
      </c>
      <c r="Y130" s="409" t="e">
        <f t="shared" si="112"/>
        <v>#REF!</v>
      </c>
      <c r="Z130" s="410"/>
      <c r="AA130" s="562" t="e">
        <f t="shared" si="103"/>
        <v>#REF!</v>
      </c>
    </row>
    <row r="131" spans="1:27">
      <c r="A131" s="563" t="s">
        <v>264</v>
      </c>
      <c r="B131" s="411" t="e">
        <f>'3-10.ДПЖ'!AA129</f>
        <v>#REF!</v>
      </c>
      <c r="C131" s="1354">
        <f t="shared" si="100"/>
        <v>1.9500000000000002</v>
      </c>
      <c r="D131" s="1355" t="e">
        <f t="shared" si="101"/>
        <v>#REF!</v>
      </c>
      <c r="E131" s="404"/>
      <c r="F131" s="405" t="e">
        <f t="shared" si="104"/>
        <v>#REF!</v>
      </c>
      <c r="G131" s="406" t="e">
        <f t="shared" si="102"/>
        <v>#REF!</v>
      </c>
      <c r="H131" s="404">
        <v>1.6</v>
      </c>
      <c r="I131" s="405" t="e">
        <f t="shared" si="105"/>
        <v>#REF!</v>
      </c>
      <c r="J131" s="406" t="e">
        <f>I131*Затраты!X$50</f>
        <v>#REF!</v>
      </c>
      <c r="K131" s="408">
        <v>0.35</v>
      </c>
      <c r="L131" s="405" t="e">
        <f t="shared" si="106"/>
        <v>#REF!</v>
      </c>
      <c r="M131" s="406" t="e">
        <f>L131*Затраты!X$51</f>
        <v>#REF!</v>
      </c>
      <c r="N131" s="408"/>
      <c r="O131" s="405" t="e">
        <f t="shared" si="107"/>
        <v>#REF!</v>
      </c>
      <c r="P131" s="406" t="e">
        <f>O131*Затраты!X$52</f>
        <v>#REF!</v>
      </c>
      <c r="Q131" s="408"/>
      <c r="R131" s="405" t="e">
        <f t="shared" si="108"/>
        <v>#REF!</v>
      </c>
      <c r="S131" s="406"/>
      <c r="T131" s="408"/>
      <c r="U131" s="405" t="e">
        <f t="shared" si="109"/>
        <v>#REF!</v>
      </c>
      <c r="V131" s="406" t="e">
        <f t="shared" si="110"/>
        <v>#REF!</v>
      </c>
      <c r="W131" s="408"/>
      <c r="X131" s="405" t="e">
        <f t="shared" si="111"/>
        <v>#REF!</v>
      </c>
      <c r="Y131" s="409" t="e">
        <f t="shared" si="112"/>
        <v>#REF!</v>
      </c>
      <c r="Z131" s="410"/>
      <c r="AA131" s="562" t="e">
        <f t="shared" si="103"/>
        <v>#REF!</v>
      </c>
    </row>
    <row r="132" spans="1:27">
      <c r="A132" s="563" t="s">
        <v>267</v>
      </c>
      <c r="B132" s="411" t="e">
        <f>'3-10.ДПЖ'!AA130</f>
        <v>#REF!</v>
      </c>
      <c r="C132" s="1354">
        <f t="shared" si="100"/>
        <v>1.9500000000000002</v>
      </c>
      <c r="D132" s="1355" t="e">
        <f t="shared" si="101"/>
        <v>#REF!</v>
      </c>
      <c r="E132" s="404"/>
      <c r="F132" s="405" t="e">
        <f t="shared" si="104"/>
        <v>#REF!</v>
      </c>
      <c r="G132" s="406" t="e">
        <f t="shared" si="102"/>
        <v>#REF!</v>
      </c>
      <c r="H132" s="404">
        <v>1.6</v>
      </c>
      <c r="I132" s="405" t="e">
        <f t="shared" si="105"/>
        <v>#REF!</v>
      </c>
      <c r="J132" s="406" t="e">
        <f>I132*Затраты!X$50</f>
        <v>#REF!</v>
      </c>
      <c r="K132" s="408">
        <v>0.35</v>
      </c>
      <c r="L132" s="405" t="e">
        <f t="shared" si="106"/>
        <v>#REF!</v>
      </c>
      <c r="M132" s="406" t="e">
        <f>L132*Затраты!X$51</f>
        <v>#REF!</v>
      </c>
      <c r="N132" s="408"/>
      <c r="O132" s="405" t="e">
        <f t="shared" si="107"/>
        <v>#REF!</v>
      </c>
      <c r="P132" s="406" t="e">
        <f>O132*Затраты!X$52</f>
        <v>#REF!</v>
      </c>
      <c r="Q132" s="408"/>
      <c r="R132" s="405" t="e">
        <f t="shared" si="108"/>
        <v>#REF!</v>
      </c>
      <c r="S132" s="406"/>
      <c r="T132" s="408"/>
      <c r="U132" s="405" t="e">
        <f t="shared" si="109"/>
        <v>#REF!</v>
      </c>
      <c r="V132" s="406" t="e">
        <f t="shared" si="110"/>
        <v>#REF!</v>
      </c>
      <c r="W132" s="408"/>
      <c r="X132" s="405" t="e">
        <f t="shared" si="111"/>
        <v>#REF!</v>
      </c>
      <c r="Y132" s="409" t="e">
        <f t="shared" si="112"/>
        <v>#REF!</v>
      </c>
      <c r="Z132" s="410"/>
      <c r="AA132" s="562" t="e">
        <f t="shared" si="103"/>
        <v>#REF!</v>
      </c>
    </row>
    <row r="133" spans="1:27">
      <c r="A133" s="563" t="s">
        <v>265</v>
      </c>
      <c r="B133" s="411" t="e">
        <f>'3-10.ДПЖ'!AA131</f>
        <v>#REF!</v>
      </c>
      <c r="C133" s="1354">
        <f t="shared" si="100"/>
        <v>1.5</v>
      </c>
      <c r="D133" s="1355" t="e">
        <f t="shared" si="101"/>
        <v>#REF!</v>
      </c>
      <c r="E133" s="404"/>
      <c r="F133" s="405" t="e">
        <f t="shared" si="104"/>
        <v>#REF!</v>
      </c>
      <c r="G133" s="406" t="e">
        <f t="shared" si="102"/>
        <v>#REF!</v>
      </c>
      <c r="H133" s="404">
        <v>1.2</v>
      </c>
      <c r="I133" s="405" t="e">
        <f t="shared" si="105"/>
        <v>#REF!</v>
      </c>
      <c r="J133" s="406" t="e">
        <f>I133*Затраты!X$50</f>
        <v>#REF!</v>
      </c>
      <c r="K133" s="408">
        <v>0.3</v>
      </c>
      <c r="L133" s="405" t="e">
        <f t="shared" si="106"/>
        <v>#REF!</v>
      </c>
      <c r="M133" s="406" t="e">
        <f>L133*Затраты!X$51</f>
        <v>#REF!</v>
      </c>
      <c r="N133" s="408"/>
      <c r="O133" s="405" t="e">
        <f t="shared" si="107"/>
        <v>#REF!</v>
      </c>
      <c r="P133" s="406" t="e">
        <f>O133*Затраты!X$52</f>
        <v>#REF!</v>
      </c>
      <c r="Q133" s="408"/>
      <c r="R133" s="405" t="e">
        <f t="shared" si="108"/>
        <v>#REF!</v>
      </c>
      <c r="S133" s="406"/>
      <c r="T133" s="408"/>
      <c r="U133" s="405" t="e">
        <f t="shared" si="109"/>
        <v>#REF!</v>
      </c>
      <c r="V133" s="406" t="e">
        <f t="shared" si="110"/>
        <v>#REF!</v>
      </c>
      <c r="W133" s="408"/>
      <c r="X133" s="405" t="e">
        <f t="shared" si="111"/>
        <v>#REF!</v>
      </c>
      <c r="Y133" s="409" t="e">
        <f t="shared" si="112"/>
        <v>#REF!</v>
      </c>
      <c r="Z133" s="410"/>
      <c r="AA133" s="562" t="e">
        <f t="shared" si="103"/>
        <v>#REF!</v>
      </c>
    </row>
    <row r="134" spans="1:27">
      <c r="A134" s="563" t="s">
        <v>268</v>
      </c>
      <c r="B134" s="411" t="e">
        <f>'3-10.ДПЖ'!AA132</f>
        <v>#REF!</v>
      </c>
      <c r="C134" s="1354">
        <f t="shared" si="100"/>
        <v>1.5</v>
      </c>
      <c r="D134" s="1355" t="e">
        <f t="shared" si="101"/>
        <v>#REF!</v>
      </c>
      <c r="E134" s="404"/>
      <c r="F134" s="405" t="e">
        <f t="shared" si="104"/>
        <v>#REF!</v>
      </c>
      <c r="G134" s="406" t="e">
        <f t="shared" si="102"/>
        <v>#REF!</v>
      </c>
      <c r="H134" s="404">
        <v>1.2</v>
      </c>
      <c r="I134" s="405" t="e">
        <f t="shared" si="105"/>
        <v>#REF!</v>
      </c>
      <c r="J134" s="406" t="e">
        <f>I134*Затраты!X$50</f>
        <v>#REF!</v>
      </c>
      <c r="K134" s="408">
        <v>0.3</v>
      </c>
      <c r="L134" s="405" t="e">
        <f t="shared" si="106"/>
        <v>#REF!</v>
      </c>
      <c r="M134" s="406" t="e">
        <f>L134*Затраты!X$51</f>
        <v>#REF!</v>
      </c>
      <c r="N134" s="408"/>
      <c r="O134" s="405" t="e">
        <f t="shared" si="107"/>
        <v>#REF!</v>
      </c>
      <c r="P134" s="406" t="e">
        <f>O134*Затраты!X$52</f>
        <v>#REF!</v>
      </c>
      <c r="Q134" s="408"/>
      <c r="R134" s="405" t="e">
        <f t="shared" si="108"/>
        <v>#REF!</v>
      </c>
      <c r="S134" s="406"/>
      <c r="T134" s="408"/>
      <c r="U134" s="405" t="e">
        <f t="shared" si="109"/>
        <v>#REF!</v>
      </c>
      <c r="V134" s="406" t="e">
        <f t="shared" si="110"/>
        <v>#REF!</v>
      </c>
      <c r="W134" s="408"/>
      <c r="X134" s="405" t="e">
        <f t="shared" si="111"/>
        <v>#REF!</v>
      </c>
      <c r="Y134" s="409" t="e">
        <f t="shared" si="112"/>
        <v>#REF!</v>
      </c>
      <c r="Z134" s="410"/>
      <c r="AA134" s="562" t="e">
        <f t="shared" si="103"/>
        <v>#REF!</v>
      </c>
    </row>
    <row r="135" spans="1:27">
      <c r="A135" s="563" t="s">
        <v>266</v>
      </c>
      <c r="B135" s="411" t="e">
        <f>'3-10.ДПЖ'!AA133</f>
        <v>#REF!</v>
      </c>
      <c r="C135" s="1354">
        <f t="shared" si="100"/>
        <v>0.68</v>
      </c>
      <c r="D135" s="1355" t="e">
        <f t="shared" si="101"/>
        <v>#REF!</v>
      </c>
      <c r="E135" s="404"/>
      <c r="F135" s="405" t="e">
        <f t="shared" si="104"/>
        <v>#REF!</v>
      </c>
      <c r="G135" s="406" t="e">
        <f t="shared" si="102"/>
        <v>#REF!</v>
      </c>
      <c r="H135" s="404">
        <v>0.4</v>
      </c>
      <c r="I135" s="405" t="e">
        <f t="shared" si="105"/>
        <v>#REF!</v>
      </c>
      <c r="J135" s="406" t="e">
        <f>I135*Затраты!X$50</f>
        <v>#REF!</v>
      </c>
      <c r="K135" s="408">
        <v>0.28000000000000003</v>
      </c>
      <c r="L135" s="405" t="e">
        <f t="shared" si="106"/>
        <v>#REF!</v>
      </c>
      <c r="M135" s="406" t="e">
        <f>L135*Затраты!X$51</f>
        <v>#REF!</v>
      </c>
      <c r="N135" s="408"/>
      <c r="O135" s="405" t="e">
        <f t="shared" si="107"/>
        <v>#REF!</v>
      </c>
      <c r="P135" s="406" t="e">
        <f>O135*Затраты!X$52</f>
        <v>#REF!</v>
      </c>
      <c r="Q135" s="408"/>
      <c r="R135" s="405" t="e">
        <f t="shared" si="108"/>
        <v>#REF!</v>
      </c>
      <c r="S135" s="406"/>
      <c r="T135" s="408"/>
      <c r="U135" s="405" t="e">
        <f t="shared" si="109"/>
        <v>#REF!</v>
      </c>
      <c r="V135" s="406" t="e">
        <f t="shared" si="110"/>
        <v>#REF!</v>
      </c>
      <c r="W135" s="408"/>
      <c r="X135" s="405" t="e">
        <f t="shared" si="111"/>
        <v>#REF!</v>
      </c>
      <c r="Y135" s="409" t="e">
        <f t="shared" si="112"/>
        <v>#REF!</v>
      </c>
      <c r="Z135" s="410"/>
      <c r="AA135" s="562" t="e">
        <f t="shared" si="103"/>
        <v>#REF!</v>
      </c>
    </row>
    <row r="136" spans="1:27">
      <c r="A136" s="563" t="s">
        <v>269</v>
      </c>
      <c r="B136" s="411" t="e">
        <f>'3-10.ДПЖ'!AA134</f>
        <v>#REF!</v>
      </c>
      <c r="C136" s="1354">
        <f t="shared" si="100"/>
        <v>0.68</v>
      </c>
      <c r="D136" s="1355" t="e">
        <f t="shared" si="101"/>
        <v>#REF!</v>
      </c>
      <c r="E136" s="404"/>
      <c r="F136" s="405" t="e">
        <f t="shared" si="104"/>
        <v>#REF!</v>
      </c>
      <c r="G136" s="406" t="e">
        <f t="shared" si="102"/>
        <v>#REF!</v>
      </c>
      <c r="H136" s="404">
        <v>0.4</v>
      </c>
      <c r="I136" s="405" t="e">
        <f t="shared" si="105"/>
        <v>#REF!</v>
      </c>
      <c r="J136" s="406" t="e">
        <f>I136*Затраты!X$50</f>
        <v>#REF!</v>
      </c>
      <c r="K136" s="408">
        <v>0.28000000000000003</v>
      </c>
      <c r="L136" s="405" t="e">
        <f t="shared" si="106"/>
        <v>#REF!</v>
      </c>
      <c r="M136" s="406" t="e">
        <f>L136*Затраты!X$51</f>
        <v>#REF!</v>
      </c>
      <c r="N136" s="408"/>
      <c r="O136" s="405" t="e">
        <f t="shared" si="107"/>
        <v>#REF!</v>
      </c>
      <c r="P136" s="406" t="e">
        <f>O136*Затраты!X$52</f>
        <v>#REF!</v>
      </c>
      <c r="Q136" s="408"/>
      <c r="R136" s="405" t="e">
        <f t="shared" si="108"/>
        <v>#REF!</v>
      </c>
      <c r="S136" s="406"/>
      <c r="T136" s="408"/>
      <c r="U136" s="405" t="e">
        <f t="shared" si="109"/>
        <v>#REF!</v>
      </c>
      <c r="V136" s="406" t="e">
        <f t="shared" si="110"/>
        <v>#REF!</v>
      </c>
      <c r="W136" s="408"/>
      <c r="X136" s="405" t="e">
        <f t="shared" si="111"/>
        <v>#REF!</v>
      </c>
      <c r="Y136" s="409" t="e">
        <f t="shared" si="112"/>
        <v>#REF!</v>
      </c>
      <c r="Z136" s="410"/>
      <c r="AA136" s="562" t="e">
        <f t="shared" si="103"/>
        <v>#REF!</v>
      </c>
    </row>
    <row r="137" spans="1:27">
      <c r="A137" s="564" t="s">
        <v>270</v>
      </c>
      <c r="B137" s="411" t="e">
        <f>'3-10.ДПЖ'!AA135</f>
        <v>#REF!</v>
      </c>
      <c r="C137" s="1354">
        <f t="shared" si="100"/>
        <v>0.69000000000000006</v>
      </c>
      <c r="D137" s="1355" t="e">
        <f t="shared" si="101"/>
        <v>#REF!</v>
      </c>
      <c r="E137" s="404"/>
      <c r="F137" s="405" t="e">
        <f t="shared" si="104"/>
        <v>#REF!</v>
      </c>
      <c r="G137" s="406" t="e">
        <f t="shared" si="102"/>
        <v>#REF!</v>
      </c>
      <c r="H137" s="404">
        <v>0.3</v>
      </c>
      <c r="I137" s="405" t="e">
        <f>B137*H137</f>
        <v>#REF!</v>
      </c>
      <c r="J137" s="406" t="e">
        <f>I137*Затраты!X$50</f>
        <v>#REF!</v>
      </c>
      <c r="K137" s="408">
        <v>0.24</v>
      </c>
      <c r="L137" s="405" t="e">
        <f t="shared" si="106"/>
        <v>#REF!</v>
      </c>
      <c r="M137" s="406" t="e">
        <f>L137*Затраты!X$51</f>
        <v>#REF!</v>
      </c>
      <c r="N137" s="408"/>
      <c r="O137" s="405" t="e">
        <f t="shared" si="107"/>
        <v>#REF!</v>
      </c>
      <c r="P137" s="406" t="e">
        <f>O137*Затраты!X$52</f>
        <v>#REF!</v>
      </c>
      <c r="Q137" s="408"/>
      <c r="R137" s="405" t="e">
        <f t="shared" si="108"/>
        <v>#REF!</v>
      </c>
      <c r="S137" s="406"/>
      <c r="T137" s="408">
        <v>0.15</v>
      </c>
      <c r="U137" s="405" t="e">
        <f t="shared" si="109"/>
        <v>#REF!</v>
      </c>
      <c r="V137" s="406" t="e">
        <f>+U137*45</f>
        <v>#REF!</v>
      </c>
      <c r="W137" s="408"/>
      <c r="X137" s="405" t="e">
        <f t="shared" si="111"/>
        <v>#REF!</v>
      </c>
      <c r="Y137" s="409" t="e">
        <f t="shared" si="112"/>
        <v>#REF!</v>
      </c>
      <c r="Z137" s="412"/>
      <c r="AA137" s="562" t="e">
        <f t="shared" si="103"/>
        <v>#REF!</v>
      </c>
    </row>
    <row r="138" spans="1:27" ht="12" thickBot="1">
      <c r="A138" s="565" t="s">
        <v>272</v>
      </c>
      <c r="B138" s="566" t="e">
        <f>'3-10.ДПЖ'!AA136</f>
        <v>#REF!</v>
      </c>
      <c r="C138" s="1354">
        <f t="shared" si="100"/>
        <v>0.69000000000000006</v>
      </c>
      <c r="D138" s="1355" t="e">
        <f t="shared" si="101"/>
        <v>#REF!</v>
      </c>
      <c r="E138" s="567"/>
      <c r="F138" s="570" t="e">
        <f t="shared" si="104"/>
        <v>#REF!</v>
      </c>
      <c r="G138" s="569" t="e">
        <f t="shared" si="102"/>
        <v>#REF!</v>
      </c>
      <c r="H138" s="567">
        <v>0.3</v>
      </c>
      <c r="I138" s="570" t="e">
        <f>B138*H138</f>
        <v>#REF!</v>
      </c>
      <c r="J138" s="569" t="e">
        <f>I138*Затраты!X$50</f>
        <v>#REF!</v>
      </c>
      <c r="K138" s="571">
        <v>0.24</v>
      </c>
      <c r="L138" s="570" t="e">
        <f t="shared" si="106"/>
        <v>#REF!</v>
      </c>
      <c r="M138" s="569" t="e">
        <f>L138*Затраты!X$51</f>
        <v>#REF!</v>
      </c>
      <c r="N138" s="571"/>
      <c r="O138" s="570" t="e">
        <f t="shared" si="107"/>
        <v>#REF!</v>
      </c>
      <c r="P138" s="569" t="e">
        <f>O138*Затраты!X$52</f>
        <v>#REF!</v>
      </c>
      <c r="Q138" s="571"/>
      <c r="R138" s="570" t="e">
        <f t="shared" si="108"/>
        <v>#REF!</v>
      </c>
      <c r="S138" s="569"/>
      <c r="T138" s="571">
        <v>0.15</v>
      </c>
      <c r="U138" s="570" t="e">
        <f t="shared" si="109"/>
        <v>#REF!</v>
      </c>
      <c r="V138" s="569" t="e">
        <f>+U138*45</f>
        <v>#REF!</v>
      </c>
      <c r="W138" s="571"/>
      <c r="X138" s="570" t="e">
        <f t="shared" si="111"/>
        <v>#REF!</v>
      </c>
      <c r="Y138" s="572" t="e">
        <f t="shared" si="112"/>
        <v>#REF!</v>
      </c>
      <c r="Z138" s="573"/>
      <c r="AA138" s="574" t="e">
        <f t="shared" si="103"/>
        <v>#REF!</v>
      </c>
    </row>
    <row r="139" spans="1:27" ht="12" thickTop="1">
      <c r="A139" s="549" t="s">
        <v>336</v>
      </c>
    </row>
    <row r="140" spans="1:27" ht="12" thickBot="1">
      <c r="A140" s="413">
        <f>+A117+1</f>
        <v>2025</v>
      </c>
      <c r="E140" s="357" t="s">
        <v>469</v>
      </c>
      <c r="AA140" s="1294" t="s">
        <v>551</v>
      </c>
    </row>
    <row r="141" spans="1:27" ht="12.75" thickTop="1" thickBot="1">
      <c r="A141" s="2081" t="s">
        <v>224</v>
      </c>
      <c r="B141" s="2083" t="s">
        <v>308</v>
      </c>
      <c r="C141" s="2085" t="s">
        <v>309</v>
      </c>
      <c r="D141" s="2086"/>
      <c r="E141" s="2089" t="s">
        <v>310</v>
      </c>
      <c r="F141" s="2089"/>
      <c r="G141" s="2089"/>
      <c r="H141" s="2089"/>
      <c r="I141" s="2089"/>
      <c r="J141" s="2089"/>
      <c r="K141" s="2089"/>
      <c r="L141" s="2089"/>
      <c r="M141" s="2089"/>
      <c r="N141" s="2089"/>
      <c r="O141" s="2089"/>
      <c r="P141" s="2089"/>
      <c r="Q141" s="2089"/>
      <c r="R141" s="2089"/>
      <c r="S141" s="2089"/>
      <c r="T141" s="2089"/>
      <c r="U141" s="2089"/>
      <c r="V141" s="2089"/>
      <c r="W141" s="2089"/>
      <c r="X141" s="2089"/>
      <c r="Y141" s="2090"/>
      <c r="Z141" s="2091" t="s">
        <v>311</v>
      </c>
      <c r="AA141" s="2075" t="s">
        <v>312</v>
      </c>
    </row>
    <row r="142" spans="1:27" ht="11.25" customHeight="1">
      <c r="A142" s="2082"/>
      <c r="B142" s="2084"/>
      <c r="C142" s="2087"/>
      <c r="D142" s="2088"/>
      <c r="E142" s="2077" t="s">
        <v>313</v>
      </c>
      <c r="F142" s="2078"/>
      <c r="G142" s="2079"/>
      <c r="H142" s="2077" t="s">
        <v>210</v>
      </c>
      <c r="I142" s="2078"/>
      <c r="J142" s="2079"/>
      <c r="K142" s="2093" t="s">
        <v>338</v>
      </c>
      <c r="L142" s="2094"/>
      <c r="M142" s="2095"/>
      <c r="N142" s="2077" t="s">
        <v>337</v>
      </c>
      <c r="O142" s="2078"/>
      <c r="P142" s="2079"/>
      <c r="Q142" s="2077" t="s">
        <v>278</v>
      </c>
      <c r="R142" s="2078"/>
      <c r="S142" s="2079"/>
      <c r="T142" s="2077" t="s">
        <v>330</v>
      </c>
      <c r="U142" s="2078"/>
      <c r="V142" s="2079"/>
      <c r="W142" s="2077" t="s">
        <v>468</v>
      </c>
      <c r="X142" s="2078"/>
      <c r="Y142" s="2080"/>
      <c r="Z142" s="2092"/>
      <c r="AA142" s="2076"/>
    </row>
    <row r="143" spans="1:27" ht="33.75">
      <c r="A143" s="2082"/>
      <c r="B143" s="2084"/>
      <c r="C143" s="907" t="s">
        <v>314</v>
      </c>
      <c r="D143" s="908" t="s">
        <v>315</v>
      </c>
      <c r="E143" s="361" t="s">
        <v>316</v>
      </c>
      <c r="F143" s="362" t="s">
        <v>315</v>
      </c>
      <c r="G143" s="363" t="s">
        <v>317</v>
      </c>
      <c r="H143" s="361" t="s">
        <v>318</v>
      </c>
      <c r="I143" s="362" t="s">
        <v>315</v>
      </c>
      <c r="J143" s="363" t="s">
        <v>317</v>
      </c>
      <c r="K143" s="361" t="s">
        <v>316</v>
      </c>
      <c r="L143" s="362" t="s">
        <v>315</v>
      </c>
      <c r="M143" s="363" t="s">
        <v>317</v>
      </c>
      <c r="N143" s="361" t="s">
        <v>316</v>
      </c>
      <c r="O143" s="362" t="s">
        <v>315</v>
      </c>
      <c r="P143" s="363" t="s">
        <v>317</v>
      </c>
      <c r="Q143" s="361" t="s">
        <v>314</v>
      </c>
      <c r="R143" s="362" t="s">
        <v>315</v>
      </c>
      <c r="S143" s="363" t="s">
        <v>317</v>
      </c>
      <c r="T143" s="361" t="s">
        <v>316</v>
      </c>
      <c r="U143" s="362" t="s">
        <v>315</v>
      </c>
      <c r="V143" s="363" t="s">
        <v>317</v>
      </c>
      <c r="W143" s="361" t="s">
        <v>316</v>
      </c>
      <c r="X143" s="362" t="s">
        <v>315</v>
      </c>
      <c r="Y143" s="364" t="s">
        <v>317</v>
      </c>
      <c r="Z143" s="2092"/>
      <c r="AA143" s="2076"/>
    </row>
    <row r="144" spans="1:27" ht="12" thickBot="1">
      <c r="A144" s="553" t="s">
        <v>305</v>
      </c>
      <c r="B144" s="365">
        <v>1</v>
      </c>
      <c r="C144" s="366">
        <v>2</v>
      </c>
      <c r="D144" s="367">
        <v>3</v>
      </c>
      <c r="E144" s="368">
        <v>2</v>
      </c>
      <c r="F144" s="369">
        <v>3</v>
      </c>
      <c r="G144" s="370">
        <v>4</v>
      </c>
      <c r="H144" s="368">
        <v>5</v>
      </c>
      <c r="I144" s="369">
        <v>6</v>
      </c>
      <c r="J144" s="370">
        <v>7</v>
      </c>
      <c r="K144" s="371">
        <v>8</v>
      </c>
      <c r="L144" s="372">
        <v>9</v>
      </c>
      <c r="M144" s="370">
        <v>10</v>
      </c>
      <c r="N144" s="368">
        <v>11</v>
      </c>
      <c r="O144" s="369">
        <v>12</v>
      </c>
      <c r="P144" s="370">
        <v>13</v>
      </c>
      <c r="Q144" s="368">
        <v>14</v>
      </c>
      <c r="R144" s="369">
        <v>15</v>
      </c>
      <c r="S144" s="370">
        <v>16</v>
      </c>
      <c r="T144" s="368">
        <v>17</v>
      </c>
      <c r="U144" s="369">
        <v>18</v>
      </c>
      <c r="V144" s="370">
        <v>19</v>
      </c>
      <c r="W144" s="368">
        <v>20</v>
      </c>
      <c r="X144" s="369">
        <v>21</v>
      </c>
      <c r="Y144" s="373">
        <v>22</v>
      </c>
      <c r="Z144" s="368">
        <v>55</v>
      </c>
      <c r="AA144" s="554">
        <v>23</v>
      </c>
    </row>
    <row r="145" spans="1:34">
      <c r="A145" s="575"/>
      <c r="B145" s="424"/>
      <c r="C145" s="425"/>
      <c r="D145" s="426"/>
      <c r="E145" s="377"/>
      <c r="F145" s="378"/>
      <c r="G145" s="379"/>
      <c r="H145" s="377"/>
      <c r="I145" s="378"/>
      <c r="J145" s="379"/>
      <c r="K145" s="380"/>
      <c r="L145" s="381"/>
      <c r="M145" s="379"/>
      <c r="N145" s="377"/>
      <c r="O145" s="378"/>
      <c r="P145" s="379"/>
      <c r="Q145" s="377"/>
      <c r="R145" s="378"/>
      <c r="S145" s="379"/>
      <c r="T145" s="377"/>
      <c r="U145" s="378"/>
      <c r="V145" s="379"/>
      <c r="W145" s="427"/>
      <c r="X145" s="428"/>
      <c r="Y145" s="429"/>
      <c r="Z145" s="427"/>
      <c r="AA145" s="576"/>
    </row>
    <row r="146" spans="1:34">
      <c r="A146" s="557" t="s">
        <v>306</v>
      </c>
      <c r="B146" s="383" t="e">
        <f>B147+B150</f>
        <v>#REF!</v>
      </c>
      <c r="C146" s="384"/>
      <c r="D146" s="385"/>
      <c r="E146" s="386">
        <f t="shared" ref="E146:Y146" si="113">E147+E150</f>
        <v>0</v>
      </c>
      <c r="F146" s="387" t="e">
        <f t="shared" si="113"/>
        <v>#REF!</v>
      </c>
      <c r="G146" s="389" t="e">
        <f t="shared" si="113"/>
        <v>#REF!</v>
      </c>
      <c r="H146" s="386">
        <f t="shared" si="113"/>
        <v>15.5</v>
      </c>
      <c r="I146" s="387" t="e">
        <f t="shared" si="113"/>
        <v>#REF!</v>
      </c>
      <c r="J146" s="389" t="e">
        <f t="shared" si="113"/>
        <v>#DIV/0!</v>
      </c>
      <c r="K146" s="386">
        <f t="shared" si="113"/>
        <v>3.9400000000000008</v>
      </c>
      <c r="L146" s="387" t="e">
        <f t="shared" si="113"/>
        <v>#REF!</v>
      </c>
      <c r="M146" s="389" t="e">
        <f t="shared" si="113"/>
        <v>#REF!</v>
      </c>
      <c r="N146" s="386">
        <f t="shared" si="113"/>
        <v>0.36</v>
      </c>
      <c r="O146" s="387" t="e">
        <f t="shared" si="113"/>
        <v>#REF!</v>
      </c>
      <c r="P146" s="389" t="e">
        <f t="shared" si="113"/>
        <v>#REF!</v>
      </c>
      <c r="Q146" s="386">
        <f t="shared" si="113"/>
        <v>0</v>
      </c>
      <c r="R146" s="387" t="e">
        <f t="shared" si="113"/>
        <v>#REF!</v>
      </c>
      <c r="S146" s="389">
        <f t="shared" si="113"/>
        <v>0</v>
      </c>
      <c r="T146" s="386">
        <f t="shared" si="113"/>
        <v>0.3</v>
      </c>
      <c r="U146" s="387" t="e">
        <f t="shared" si="113"/>
        <v>#REF!</v>
      </c>
      <c r="V146" s="389" t="e">
        <f t="shared" si="113"/>
        <v>#REF!</v>
      </c>
      <c r="W146" s="386">
        <f t="shared" si="113"/>
        <v>0</v>
      </c>
      <c r="X146" s="387" t="e">
        <f t="shared" si="113"/>
        <v>#REF!</v>
      </c>
      <c r="Y146" s="416" t="e">
        <f t="shared" si="113"/>
        <v>#REF!</v>
      </c>
      <c r="Z146" s="386">
        <f>Z147+Z150</f>
        <v>0</v>
      </c>
      <c r="AA146" s="558" t="e">
        <f>AA147+AA150</f>
        <v>#REF!</v>
      </c>
    </row>
    <row r="147" spans="1:34" ht="21">
      <c r="A147" s="559" t="s">
        <v>319</v>
      </c>
      <c r="B147" s="393" t="e">
        <f>SUM(B148:B149)</f>
        <v>#REF!</v>
      </c>
      <c r="C147" s="394">
        <f t="shared" ref="C147:G147" si="114">SUM(C148:C149)</f>
        <v>2.96</v>
      </c>
      <c r="D147" s="395" t="e">
        <f t="shared" si="114"/>
        <v>#REF!</v>
      </c>
      <c r="E147" s="396">
        <f t="shared" si="114"/>
        <v>0</v>
      </c>
      <c r="F147" s="397" t="e">
        <f t="shared" si="114"/>
        <v>#REF!</v>
      </c>
      <c r="G147" s="402" t="e">
        <f t="shared" si="114"/>
        <v>#REF!</v>
      </c>
      <c r="H147" s="396">
        <f>SUM(H148:H149)</f>
        <v>2</v>
      </c>
      <c r="I147" s="397" t="e">
        <f t="shared" ref="I147:Z147" si="115">SUM(I148:I149)</f>
        <v>#REF!</v>
      </c>
      <c r="J147" s="402" t="e">
        <f t="shared" si="115"/>
        <v>#DIV/0!</v>
      </c>
      <c r="K147" s="396">
        <f t="shared" si="115"/>
        <v>0.6</v>
      </c>
      <c r="L147" s="397" t="e">
        <f t="shared" si="115"/>
        <v>#REF!</v>
      </c>
      <c r="M147" s="402" t="e">
        <f t="shared" si="115"/>
        <v>#REF!</v>
      </c>
      <c r="N147" s="396">
        <f t="shared" si="115"/>
        <v>0.36</v>
      </c>
      <c r="O147" s="397" t="e">
        <f t="shared" si="115"/>
        <v>#REF!</v>
      </c>
      <c r="P147" s="402" t="e">
        <f t="shared" si="115"/>
        <v>#REF!</v>
      </c>
      <c r="Q147" s="396">
        <f t="shared" si="115"/>
        <v>0</v>
      </c>
      <c r="R147" s="397" t="e">
        <f t="shared" si="115"/>
        <v>#REF!</v>
      </c>
      <c r="S147" s="402">
        <f t="shared" si="115"/>
        <v>0</v>
      </c>
      <c r="T147" s="396">
        <f t="shared" si="115"/>
        <v>0</v>
      </c>
      <c r="U147" s="397" t="e">
        <f t="shared" si="115"/>
        <v>#REF!</v>
      </c>
      <c r="V147" s="402" t="e">
        <f t="shared" si="115"/>
        <v>#REF!</v>
      </c>
      <c r="W147" s="396">
        <f t="shared" si="115"/>
        <v>0</v>
      </c>
      <c r="X147" s="397" t="e">
        <f t="shared" si="115"/>
        <v>#REF!</v>
      </c>
      <c r="Y147" s="417" t="e">
        <f t="shared" si="115"/>
        <v>#REF!</v>
      </c>
      <c r="Z147" s="396">
        <f t="shared" si="115"/>
        <v>0</v>
      </c>
      <c r="AA147" s="560" t="e">
        <f>SUM(AA148:AA149)</f>
        <v>#REF!</v>
      </c>
      <c r="AD147" s="2074" t="s">
        <v>77</v>
      </c>
      <c r="AE147" s="2074"/>
      <c r="AF147" s="2074"/>
      <c r="AG147" s="2074"/>
      <c r="AH147" s="2074"/>
    </row>
    <row r="148" spans="1:34">
      <c r="A148" s="561" t="s">
        <v>244</v>
      </c>
      <c r="B148" s="403" t="e">
        <f>'3-10.ДПЖ'!AA147</f>
        <v>#REF!</v>
      </c>
      <c r="C148" s="1354">
        <f t="shared" ref="C148:C149" si="116">+E148+H148+K148+N148+T148</f>
        <v>0</v>
      </c>
      <c r="D148" s="1355" t="e">
        <f t="shared" ref="D148:D149" si="117">+F148+I148+L148+O148+U148</f>
        <v>#REF!</v>
      </c>
      <c r="E148" s="404"/>
      <c r="F148" s="405" t="e">
        <f>E148*B148</f>
        <v>#REF!</v>
      </c>
      <c r="G148" s="406" t="e">
        <f t="shared" ref="G148:G149" si="118">F148*20</f>
        <v>#REF!</v>
      </c>
      <c r="H148" s="404"/>
      <c r="I148" s="405"/>
      <c r="J148" s="406" t="e">
        <f>I148*Затраты!X$59</f>
        <v>#DIV/0!</v>
      </c>
      <c r="K148" s="407"/>
      <c r="L148" s="405" t="e">
        <f>B148*K148</f>
        <v>#REF!</v>
      </c>
      <c r="M148" s="406" t="e">
        <f>L148*Затраты!X$60</f>
        <v>#REF!</v>
      </c>
      <c r="N148" s="408"/>
      <c r="O148" s="405" t="e">
        <f>B148*N148</f>
        <v>#REF!</v>
      </c>
      <c r="P148" s="406" t="e">
        <f>O148*Затраты!X$61</f>
        <v>#REF!</v>
      </c>
      <c r="Q148" s="408"/>
      <c r="R148" s="405" t="e">
        <f>B148*Q148</f>
        <v>#REF!</v>
      </c>
      <c r="S148" s="406"/>
      <c r="T148" s="408"/>
      <c r="U148" s="405" t="e">
        <f>B148*T148</f>
        <v>#REF!</v>
      </c>
      <c r="V148" s="406" t="e">
        <f>U148*20</f>
        <v>#REF!</v>
      </c>
      <c r="W148" s="408"/>
      <c r="X148" s="405" t="e">
        <f>B148*W148</f>
        <v>#REF!</v>
      </c>
      <c r="Y148" s="409" t="e">
        <f>X148*15</f>
        <v>#REF!</v>
      </c>
      <c r="Z148" s="419"/>
      <c r="AA148" s="562" t="e">
        <f>G148+J148+P148+S148+V148+Y148+Z148+M148</f>
        <v>#REF!</v>
      </c>
    </row>
    <row r="149" spans="1:34">
      <c r="A149" s="561" t="s">
        <v>260</v>
      </c>
      <c r="B149" s="403" t="e">
        <f>'3-10.ДПЖ'!AA148</f>
        <v>#REF!</v>
      </c>
      <c r="C149" s="1354">
        <f t="shared" si="116"/>
        <v>2.96</v>
      </c>
      <c r="D149" s="1355" t="e">
        <f t="shared" si="117"/>
        <v>#REF!</v>
      </c>
      <c r="E149" s="404"/>
      <c r="F149" s="405" t="e">
        <f>E149*B149</f>
        <v>#REF!</v>
      </c>
      <c r="G149" s="406" t="e">
        <f t="shared" si="118"/>
        <v>#REF!</v>
      </c>
      <c r="H149" s="404">
        <v>2</v>
      </c>
      <c r="I149" s="405" t="e">
        <f>B149*H149</f>
        <v>#REF!</v>
      </c>
      <c r="J149" s="406" t="e">
        <f>I149*Затраты!X$59</f>
        <v>#REF!</v>
      </c>
      <c r="K149" s="407">
        <v>0.6</v>
      </c>
      <c r="L149" s="405" t="e">
        <f>B149*K149</f>
        <v>#REF!</v>
      </c>
      <c r="M149" s="406" t="e">
        <f>L149*Затраты!X$60</f>
        <v>#REF!</v>
      </c>
      <c r="N149" s="408">
        <v>0.36</v>
      </c>
      <c r="O149" s="405" t="e">
        <f>B149*N149</f>
        <v>#REF!</v>
      </c>
      <c r="P149" s="406" t="e">
        <f>O149*Затраты!X$61</f>
        <v>#REF!</v>
      </c>
      <c r="Q149" s="408"/>
      <c r="R149" s="405" t="e">
        <f>B149*Q149</f>
        <v>#REF!</v>
      </c>
      <c r="S149" s="406"/>
      <c r="T149" s="408"/>
      <c r="U149" s="405" t="e">
        <f>B149*T149</f>
        <v>#REF!</v>
      </c>
      <c r="V149" s="406" t="e">
        <f>U149*20</f>
        <v>#REF!</v>
      </c>
      <c r="W149" s="408"/>
      <c r="X149" s="405" t="e">
        <f>B149*W149</f>
        <v>#REF!</v>
      </c>
      <c r="Y149" s="409" t="e">
        <f>X149*15</f>
        <v>#REF!</v>
      </c>
      <c r="Z149" s="419"/>
      <c r="AA149" s="562" t="e">
        <f>G149+J149+P149+S149+V149+Y149+Z149+M149</f>
        <v>#REF!</v>
      </c>
    </row>
    <row r="150" spans="1:34" ht="21">
      <c r="A150" s="559" t="s">
        <v>320</v>
      </c>
      <c r="B150" s="393" t="e">
        <f>SUM(B151:B161)</f>
        <v>#REF!</v>
      </c>
      <c r="C150" s="394">
        <f t="shared" ref="C150:AA150" si="119">SUM(C151:C161)</f>
        <v>17.14</v>
      </c>
      <c r="D150" s="395" t="e">
        <f t="shared" si="119"/>
        <v>#REF!</v>
      </c>
      <c r="E150" s="396">
        <f t="shared" si="119"/>
        <v>0</v>
      </c>
      <c r="F150" s="397" t="e">
        <f t="shared" si="119"/>
        <v>#REF!</v>
      </c>
      <c r="G150" s="398" t="e">
        <f t="shared" si="119"/>
        <v>#REF!</v>
      </c>
      <c r="H150" s="396">
        <f t="shared" si="119"/>
        <v>13.5</v>
      </c>
      <c r="I150" s="397" t="e">
        <f t="shared" si="119"/>
        <v>#REF!</v>
      </c>
      <c r="J150" s="402" t="e">
        <f t="shared" si="119"/>
        <v>#REF!</v>
      </c>
      <c r="K150" s="396">
        <f t="shared" si="119"/>
        <v>3.3400000000000007</v>
      </c>
      <c r="L150" s="397" t="e">
        <f t="shared" si="119"/>
        <v>#REF!</v>
      </c>
      <c r="M150" s="402" t="e">
        <f t="shared" si="119"/>
        <v>#REF!</v>
      </c>
      <c r="N150" s="396">
        <f t="shared" si="119"/>
        <v>0</v>
      </c>
      <c r="O150" s="397" t="e">
        <f t="shared" si="119"/>
        <v>#REF!</v>
      </c>
      <c r="P150" s="402" t="e">
        <f t="shared" si="119"/>
        <v>#REF!</v>
      </c>
      <c r="Q150" s="396">
        <f t="shared" si="119"/>
        <v>0</v>
      </c>
      <c r="R150" s="397" t="e">
        <f t="shared" si="119"/>
        <v>#REF!</v>
      </c>
      <c r="S150" s="402">
        <f t="shared" si="119"/>
        <v>0</v>
      </c>
      <c r="T150" s="396">
        <f t="shared" si="119"/>
        <v>0.3</v>
      </c>
      <c r="U150" s="397" t="e">
        <f t="shared" si="119"/>
        <v>#REF!</v>
      </c>
      <c r="V150" s="402" t="e">
        <f t="shared" si="119"/>
        <v>#REF!</v>
      </c>
      <c r="W150" s="396">
        <f t="shared" si="119"/>
        <v>0</v>
      </c>
      <c r="X150" s="397" t="e">
        <f t="shared" si="119"/>
        <v>#REF!</v>
      </c>
      <c r="Y150" s="417" t="e">
        <f t="shared" si="119"/>
        <v>#REF!</v>
      </c>
      <c r="Z150" s="396">
        <f t="shared" si="119"/>
        <v>0</v>
      </c>
      <c r="AA150" s="560" t="e">
        <f t="shared" si="119"/>
        <v>#REF!</v>
      </c>
    </row>
    <row r="151" spans="1:34">
      <c r="A151" s="563" t="s">
        <v>258</v>
      </c>
      <c r="B151" s="411" t="e">
        <f>'3-10.ДПЖ'!AA149</f>
        <v>#REF!</v>
      </c>
      <c r="C151" s="1354">
        <f t="shared" ref="C151:C161" si="120">+E151+H151+K151+N151+T151</f>
        <v>2</v>
      </c>
      <c r="D151" s="1355" t="e">
        <f t="shared" ref="D151:D161" si="121">+F151+I151+L151+O151+U151</f>
        <v>#REF!</v>
      </c>
      <c r="E151" s="404"/>
      <c r="F151" s="405" t="e">
        <f>E151*B151</f>
        <v>#REF!</v>
      </c>
      <c r="G151" s="406" t="e">
        <f t="shared" ref="G151:G161" si="122">F151*20</f>
        <v>#REF!</v>
      </c>
      <c r="H151" s="404">
        <v>2</v>
      </c>
      <c r="I151" s="405" t="e">
        <f>B151*H151</f>
        <v>#REF!</v>
      </c>
      <c r="J151" s="406" t="e">
        <f>I151*Затраты!X$59</f>
        <v>#REF!</v>
      </c>
      <c r="K151" s="408"/>
      <c r="L151" s="405" t="e">
        <f>B151*K151</f>
        <v>#REF!</v>
      </c>
      <c r="M151" s="406" t="e">
        <f>L151*Затраты!X$60</f>
        <v>#REF!</v>
      </c>
      <c r="N151" s="408"/>
      <c r="O151" s="405" t="e">
        <f>B151*N151</f>
        <v>#REF!</v>
      </c>
      <c r="P151" s="406" t="e">
        <f>O151*Затраты!X$61</f>
        <v>#REF!</v>
      </c>
      <c r="Q151" s="408"/>
      <c r="R151" s="405" t="e">
        <f>B151*Q151</f>
        <v>#REF!</v>
      </c>
      <c r="S151" s="406"/>
      <c r="T151" s="408"/>
      <c r="U151" s="405" t="e">
        <f>B151*T151</f>
        <v>#REF!</v>
      </c>
      <c r="V151" s="406" t="e">
        <f>U151*20</f>
        <v>#REF!</v>
      </c>
      <c r="W151" s="408"/>
      <c r="X151" s="405" t="e">
        <f>B151*W151</f>
        <v>#REF!</v>
      </c>
      <c r="Y151" s="409" t="e">
        <f>X151*15</f>
        <v>#REF!</v>
      </c>
      <c r="Z151" s="410"/>
      <c r="AA151" s="562" t="e">
        <f t="shared" ref="AA151:AA161" si="123">G151+J151+P151+S151+V151+Y151+Z151+M151</f>
        <v>#REF!</v>
      </c>
    </row>
    <row r="152" spans="1:34">
      <c r="A152" s="563" t="s">
        <v>261</v>
      </c>
      <c r="B152" s="411" t="e">
        <f>'3-10.ДПЖ'!AA150</f>
        <v>#REF!</v>
      </c>
      <c r="C152" s="1354">
        <f t="shared" si="120"/>
        <v>3.1</v>
      </c>
      <c r="D152" s="1355" t="e">
        <f t="shared" si="121"/>
        <v>#REF!</v>
      </c>
      <c r="E152" s="404"/>
      <c r="F152" s="405" t="e">
        <f t="shared" ref="F152:F161" si="124">E152*B152</f>
        <v>#REF!</v>
      </c>
      <c r="G152" s="406" t="e">
        <f t="shared" si="122"/>
        <v>#REF!</v>
      </c>
      <c r="H152" s="404">
        <v>2.5</v>
      </c>
      <c r="I152" s="405" t="e">
        <f t="shared" ref="I152:I159" si="125">B152*H152</f>
        <v>#REF!</v>
      </c>
      <c r="J152" s="406" t="e">
        <f>I152*Затраты!X$59</f>
        <v>#REF!</v>
      </c>
      <c r="K152" s="408">
        <v>0.6</v>
      </c>
      <c r="L152" s="405" t="e">
        <f t="shared" ref="L152:L161" si="126">B152*K152</f>
        <v>#REF!</v>
      </c>
      <c r="M152" s="406" t="e">
        <f>L152*Затраты!X$60</f>
        <v>#REF!</v>
      </c>
      <c r="N152" s="408"/>
      <c r="O152" s="405" t="e">
        <f t="shared" ref="O152:O161" si="127">B152*N152</f>
        <v>#REF!</v>
      </c>
      <c r="P152" s="406" t="e">
        <f>O152*Затраты!X$61</f>
        <v>#REF!</v>
      </c>
      <c r="Q152" s="408"/>
      <c r="R152" s="405" t="e">
        <f t="shared" ref="R152:R161" si="128">B152*Q152</f>
        <v>#REF!</v>
      </c>
      <c r="S152" s="406"/>
      <c r="T152" s="408"/>
      <c r="U152" s="405" t="e">
        <f t="shared" ref="U152:U161" si="129">B152*T152</f>
        <v>#REF!</v>
      </c>
      <c r="V152" s="406" t="e">
        <f t="shared" ref="V152:V159" si="130">U152*20</f>
        <v>#REF!</v>
      </c>
      <c r="W152" s="408"/>
      <c r="X152" s="405" t="e">
        <f t="shared" ref="X152:X161" si="131">B152*W152</f>
        <v>#REF!</v>
      </c>
      <c r="Y152" s="409" t="e">
        <f t="shared" ref="Y152:Y161" si="132">X152*15</f>
        <v>#REF!</v>
      </c>
      <c r="Z152" s="410"/>
      <c r="AA152" s="562" t="e">
        <f t="shared" si="123"/>
        <v>#REF!</v>
      </c>
    </row>
    <row r="153" spans="1:34">
      <c r="A153" s="563" t="s">
        <v>263</v>
      </c>
      <c r="B153" s="411" t="e">
        <f>'3-10.ДПЖ'!AA151</f>
        <v>#REF!</v>
      </c>
      <c r="C153" s="1354">
        <f t="shared" si="120"/>
        <v>2.4</v>
      </c>
      <c r="D153" s="1355" t="e">
        <f t="shared" si="121"/>
        <v>#REF!</v>
      </c>
      <c r="E153" s="404"/>
      <c r="F153" s="405" t="e">
        <f t="shared" si="124"/>
        <v>#REF!</v>
      </c>
      <c r="G153" s="406" t="e">
        <f t="shared" si="122"/>
        <v>#REF!</v>
      </c>
      <c r="H153" s="404">
        <v>2</v>
      </c>
      <c r="I153" s="405" t="e">
        <f t="shared" si="125"/>
        <v>#REF!</v>
      </c>
      <c r="J153" s="406" t="e">
        <f>I153*Затраты!X$59</f>
        <v>#REF!</v>
      </c>
      <c r="K153" s="408">
        <v>0.4</v>
      </c>
      <c r="L153" s="405" t="e">
        <f t="shared" si="126"/>
        <v>#REF!</v>
      </c>
      <c r="M153" s="406" t="e">
        <f>L153*Затраты!X$60</f>
        <v>#REF!</v>
      </c>
      <c r="N153" s="408"/>
      <c r="O153" s="405" t="e">
        <f t="shared" si="127"/>
        <v>#REF!</v>
      </c>
      <c r="P153" s="406" t="e">
        <f>O153*Затраты!X$61</f>
        <v>#REF!</v>
      </c>
      <c r="Q153" s="408"/>
      <c r="R153" s="405" t="e">
        <f t="shared" si="128"/>
        <v>#REF!</v>
      </c>
      <c r="S153" s="406"/>
      <c r="T153" s="408"/>
      <c r="U153" s="405" t="e">
        <f t="shared" si="129"/>
        <v>#REF!</v>
      </c>
      <c r="V153" s="406" t="e">
        <f t="shared" si="130"/>
        <v>#REF!</v>
      </c>
      <c r="W153" s="408"/>
      <c r="X153" s="405" t="e">
        <f t="shared" si="131"/>
        <v>#REF!</v>
      </c>
      <c r="Y153" s="409" t="e">
        <f t="shared" si="132"/>
        <v>#REF!</v>
      </c>
      <c r="Z153" s="410"/>
      <c r="AA153" s="562" t="e">
        <f t="shared" si="123"/>
        <v>#REF!</v>
      </c>
    </row>
    <row r="154" spans="1:34">
      <c r="A154" s="563" t="s">
        <v>264</v>
      </c>
      <c r="B154" s="411" t="e">
        <f>'3-10.ДПЖ'!AA152</f>
        <v>#REF!</v>
      </c>
      <c r="C154" s="1354">
        <f t="shared" si="120"/>
        <v>1.9500000000000002</v>
      </c>
      <c r="D154" s="1355" t="e">
        <f t="shared" si="121"/>
        <v>#REF!</v>
      </c>
      <c r="E154" s="404"/>
      <c r="F154" s="405" t="e">
        <f t="shared" si="124"/>
        <v>#REF!</v>
      </c>
      <c r="G154" s="406" t="e">
        <f t="shared" si="122"/>
        <v>#REF!</v>
      </c>
      <c r="H154" s="404">
        <v>1.6</v>
      </c>
      <c r="I154" s="405" t="e">
        <f t="shared" si="125"/>
        <v>#REF!</v>
      </c>
      <c r="J154" s="406" t="e">
        <f>I154*Затраты!X$59</f>
        <v>#REF!</v>
      </c>
      <c r="K154" s="408">
        <v>0.35</v>
      </c>
      <c r="L154" s="405" t="e">
        <f t="shared" si="126"/>
        <v>#REF!</v>
      </c>
      <c r="M154" s="406" t="e">
        <f>L154*Затраты!X$60</f>
        <v>#REF!</v>
      </c>
      <c r="N154" s="408"/>
      <c r="O154" s="405" t="e">
        <f t="shared" si="127"/>
        <v>#REF!</v>
      </c>
      <c r="P154" s="406" t="e">
        <f>O154*Затраты!X$61</f>
        <v>#REF!</v>
      </c>
      <c r="Q154" s="408"/>
      <c r="R154" s="405" t="e">
        <f t="shared" si="128"/>
        <v>#REF!</v>
      </c>
      <c r="S154" s="406"/>
      <c r="T154" s="408"/>
      <c r="U154" s="405" t="e">
        <f t="shared" si="129"/>
        <v>#REF!</v>
      </c>
      <c r="V154" s="406" t="e">
        <f t="shared" si="130"/>
        <v>#REF!</v>
      </c>
      <c r="W154" s="408"/>
      <c r="X154" s="405" t="e">
        <f t="shared" si="131"/>
        <v>#REF!</v>
      </c>
      <c r="Y154" s="409" t="e">
        <f t="shared" si="132"/>
        <v>#REF!</v>
      </c>
      <c r="Z154" s="410"/>
      <c r="AA154" s="562" t="e">
        <f t="shared" si="123"/>
        <v>#REF!</v>
      </c>
    </row>
    <row r="155" spans="1:34">
      <c r="A155" s="563" t="s">
        <v>267</v>
      </c>
      <c r="B155" s="411" t="e">
        <f>'3-10.ДПЖ'!AA153</f>
        <v>#REF!</v>
      </c>
      <c r="C155" s="1354">
        <f t="shared" si="120"/>
        <v>1.9500000000000002</v>
      </c>
      <c r="D155" s="1355" t="e">
        <f t="shared" si="121"/>
        <v>#REF!</v>
      </c>
      <c r="E155" s="404"/>
      <c r="F155" s="405" t="e">
        <f t="shared" si="124"/>
        <v>#REF!</v>
      </c>
      <c r="G155" s="406" t="e">
        <f t="shared" si="122"/>
        <v>#REF!</v>
      </c>
      <c r="H155" s="404">
        <v>1.6</v>
      </c>
      <c r="I155" s="405" t="e">
        <f t="shared" si="125"/>
        <v>#REF!</v>
      </c>
      <c r="J155" s="406" t="e">
        <f>I155*Затраты!X$59</f>
        <v>#REF!</v>
      </c>
      <c r="K155" s="408">
        <v>0.35</v>
      </c>
      <c r="L155" s="405" t="e">
        <f t="shared" si="126"/>
        <v>#REF!</v>
      </c>
      <c r="M155" s="406" t="e">
        <f>L155*Затраты!X$60</f>
        <v>#REF!</v>
      </c>
      <c r="N155" s="408"/>
      <c r="O155" s="405" t="e">
        <f t="shared" si="127"/>
        <v>#REF!</v>
      </c>
      <c r="P155" s="406" t="e">
        <f>O155*Затраты!X$61</f>
        <v>#REF!</v>
      </c>
      <c r="Q155" s="408"/>
      <c r="R155" s="405" t="e">
        <f t="shared" si="128"/>
        <v>#REF!</v>
      </c>
      <c r="S155" s="406"/>
      <c r="T155" s="408"/>
      <c r="U155" s="405" t="e">
        <f t="shared" si="129"/>
        <v>#REF!</v>
      </c>
      <c r="V155" s="406" t="e">
        <f t="shared" si="130"/>
        <v>#REF!</v>
      </c>
      <c r="W155" s="408"/>
      <c r="X155" s="405" t="e">
        <f t="shared" si="131"/>
        <v>#REF!</v>
      </c>
      <c r="Y155" s="409" t="e">
        <f t="shared" si="132"/>
        <v>#REF!</v>
      </c>
      <c r="Z155" s="410"/>
      <c r="AA155" s="562" t="e">
        <f t="shared" si="123"/>
        <v>#REF!</v>
      </c>
    </row>
    <row r="156" spans="1:34">
      <c r="A156" s="563" t="s">
        <v>265</v>
      </c>
      <c r="B156" s="411" t="e">
        <f>'3-10.ДПЖ'!AA154</f>
        <v>#REF!</v>
      </c>
      <c r="C156" s="1354">
        <f t="shared" si="120"/>
        <v>1.5</v>
      </c>
      <c r="D156" s="1355" t="e">
        <f t="shared" si="121"/>
        <v>#REF!</v>
      </c>
      <c r="E156" s="404"/>
      <c r="F156" s="405" t="e">
        <f t="shared" si="124"/>
        <v>#REF!</v>
      </c>
      <c r="G156" s="406" t="e">
        <f t="shared" si="122"/>
        <v>#REF!</v>
      </c>
      <c r="H156" s="404">
        <v>1.2</v>
      </c>
      <c r="I156" s="405" t="e">
        <f t="shared" si="125"/>
        <v>#REF!</v>
      </c>
      <c r="J156" s="406" t="e">
        <f>I156*Затраты!X$59</f>
        <v>#REF!</v>
      </c>
      <c r="K156" s="408">
        <v>0.3</v>
      </c>
      <c r="L156" s="405" t="e">
        <f t="shared" si="126"/>
        <v>#REF!</v>
      </c>
      <c r="M156" s="406" t="e">
        <f>L156*Затраты!X$60</f>
        <v>#REF!</v>
      </c>
      <c r="N156" s="408"/>
      <c r="O156" s="405" t="e">
        <f t="shared" si="127"/>
        <v>#REF!</v>
      </c>
      <c r="P156" s="406" t="e">
        <f>O156*Затраты!X$61</f>
        <v>#REF!</v>
      </c>
      <c r="Q156" s="408"/>
      <c r="R156" s="405" t="e">
        <f t="shared" si="128"/>
        <v>#REF!</v>
      </c>
      <c r="S156" s="406"/>
      <c r="T156" s="408"/>
      <c r="U156" s="405" t="e">
        <f t="shared" si="129"/>
        <v>#REF!</v>
      </c>
      <c r="V156" s="406" t="e">
        <f t="shared" si="130"/>
        <v>#REF!</v>
      </c>
      <c r="W156" s="408"/>
      <c r="X156" s="405" t="e">
        <f t="shared" si="131"/>
        <v>#REF!</v>
      </c>
      <c r="Y156" s="409" t="e">
        <f t="shared" si="132"/>
        <v>#REF!</v>
      </c>
      <c r="Z156" s="410"/>
      <c r="AA156" s="562" t="e">
        <f t="shared" si="123"/>
        <v>#REF!</v>
      </c>
    </row>
    <row r="157" spans="1:34">
      <c r="A157" s="563" t="s">
        <v>268</v>
      </c>
      <c r="B157" s="411" t="e">
        <f>'3-10.ДПЖ'!AA155</f>
        <v>#REF!</v>
      </c>
      <c r="C157" s="1354">
        <f t="shared" si="120"/>
        <v>1.5</v>
      </c>
      <c r="D157" s="1355" t="e">
        <f t="shared" si="121"/>
        <v>#REF!</v>
      </c>
      <c r="E157" s="404"/>
      <c r="F157" s="405" t="e">
        <f t="shared" si="124"/>
        <v>#REF!</v>
      </c>
      <c r="G157" s="406" t="e">
        <f t="shared" si="122"/>
        <v>#REF!</v>
      </c>
      <c r="H157" s="404">
        <v>1.2</v>
      </c>
      <c r="I157" s="405" t="e">
        <f t="shared" si="125"/>
        <v>#REF!</v>
      </c>
      <c r="J157" s="406" t="e">
        <f>I157*Затраты!X$59</f>
        <v>#REF!</v>
      </c>
      <c r="K157" s="408">
        <v>0.3</v>
      </c>
      <c r="L157" s="405" t="e">
        <f t="shared" si="126"/>
        <v>#REF!</v>
      </c>
      <c r="M157" s="406" t="e">
        <f>L157*Затраты!X$60</f>
        <v>#REF!</v>
      </c>
      <c r="N157" s="408"/>
      <c r="O157" s="405" t="e">
        <f t="shared" si="127"/>
        <v>#REF!</v>
      </c>
      <c r="P157" s="406" t="e">
        <f>O157*Затраты!X$61</f>
        <v>#REF!</v>
      </c>
      <c r="Q157" s="408"/>
      <c r="R157" s="405" t="e">
        <f t="shared" si="128"/>
        <v>#REF!</v>
      </c>
      <c r="S157" s="406"/>
      <c r="T157" s="408"/>
      <c r="U157" s="405" t="e">
        <f t="shared" si="129"/>
        <v>#REF!</v>
      </c>
      <c r="V157" s="406" t="e">
        <f t="shared" si="130"/>
        <v>#REF!</v>
      </c>
      <c r="W157" s="408"/>
      <c r="X157" s="405" t="e">
        <f t="shared" si="131"/>
        <v>#REF!</v>
      </c>
      <c r="Y157" s="409" t="e">
        <f t="shared" si="132"/>
        <v>#REF!</v>
      </c>
      <c r="Z157" s="410"/>
      <c r="AA157" s="562" t="e">
        <f t="shared" si="123"/>
        <v>#REF!</v>
      </c>
    </row>
    <row r="158" spans="1:34">
      <c r="A158" s="563" t="s">
        <v>266</v>
      </c>
      <c r="B158" s="411" t="e">
        <f>'3-10.ДПЖ'!AA156</f>
        <v>#REF!</v>
      </c>
      <c r="C158" s="1354">
        <f t="shared" si="120"/>
        <v>0.68</v>
      </c>
      <c r="D158" s="1355" t="e">
        <f t="shared" si="121"/>
        <v>#REF!</v>
      </c>
      <c r="E158" s="404"/>
      <c r="F158" s="405" t="e">
        <f t="shared" si="124"/>
        <v>#REF!</v>
      </c>
      <c r="G158" s="406" t="e">
        <f t="shared" si="122"/>
        <v>#REF!</v>
      </c>
      <c r="H158" s="404">
        <v>0.4</v>
      </c>
      <c r="I158" s="405" t="e">
        <f t="shared" si="125"/>
        <v>#REF!</v>
      </c>
      <c r="J158" s="406" t="e">
        <f>I158*Затраты!X$59</f>
        <v>#REF!</v>
      </c>
      <c r="K158" s="408">
        <v>0.28000000000000003</v>
      </c>
      <c r="L158" s="405" t="e">
        <f t="shared" si="126"/>
        <v>#REF!</v>
      </c>
      <c r="M158" s="406" t="e">
        <f>L158*Затраты!X$60</f>
        <v>#REF!</v>
      </c>
      <c r="N158" s="408"/>
      <c r="O158" s="405" t="e">
        <f t="shared" si="127"/>
        <v>#REF!</v>
      </c>
      <c r="P158" s="406" t="e">
        <f>O158*Затраты!X$61</f>
        <v>#REF!</v>
      </c>
      <c r="Q158" s="408"/>
      <c r="R158" s="405" t="e">
        <f t="shared" si="128"/>
        <v>#REF!</v>
      </c>
      <c r="S158" s="406"/>
      <c r="T158" s="408"/>
      <c r="U158" s="405" t="e">
        <f t="shared" si="129"/>
        <v>#REF!</v>
      </c>
      <c r="V158" s="406" t="e">
        <f t="shared" si="130"/>
        <v>#REF!</v>
      </c>
      <c r="W158" s="408"/>
      <c r="X158" s="405" t="e">
        <f t="shared" si="131"/>
        <v>#REF!</v>
      </c>
      <c r="Y158" s="409" t="e">
        <f t="shared" si="132"/>
        <v>#REF!</v>
      </c>
      <c r="Z158" s="410"/>
      <c r="AA158" s="562" t="e">
        <f t="shared" si="123"/>
        <v>#REF!</v>
      </c>
    </row>
    <row r="159" spans="1:34">
      <c r="A159" s="563" t="s">
        <v>269</v>
      </c>
      <c r="B159" s="411" t="e">
        <f>'3-10.ДПЖ'!AA157</f>
        <v>#REF!</v>
      </c>
      <c r="C159" s="1354">
        <f t="shared" si="120"/>
        <v>0.68</v>
      </c>
      <c r="D159" s="1355" t="e">
        <f t="shared" si="121"/>
        <v>#REF!</v>
      </c>
      <c r="E159" s="404"/>
      <c r="F159" s="405" t="e">
        <f t="shared" si="124"/>
        <v>#REF!</v>
      </c>
      <c r="G159" s="406" t="e">
        <f t="shared" si="122"/>
        <v>#REF!</v>
      </c>
      <c r="H159" s="404">
        <v>0.4</v>
      </c>
      <c r="I159" s="405" t="e">
        <f t="shared" si="125"/>
        <v>#REF!</v>
      </c>
      <c r="J159" s="406" t="e">
        <f>I159*Затраты!X$59</f>
        <v>#REF!</v>
      </c>
      <c r="K159" s="408">
        <v>0.28000000000000003</v>
      </c>
      <c r="L159" s="405" t="e">
        <f t="shared" si="126"/>
        <v>#REF!</v>
      </c>
      <c r="M159" s="406" t="e">
        <f>L159*Затраты!X$60</f>
        <v>#REF!</v>
      </c>
      <c r="N159" s="408"/>
      <c r="O159" s="405" t="e">
        <f t="shared" si="127"/>
        <v>#REF!</v>
      </c>
      <c r="P159" s="406" t="e">
        <f>O159*Затраты!X$61</f>
        <v>#REF!</v>
      </c>
      <c r="Q159" s="408"/>
      <c r="R159" s="405" t="e">
        <f t="shared" si="128"/>
        <v>#REF!</v>
      </c>
      <c r="S159" s="406"/>
      <c r="T159" s="408"/>
      <c r="U159" s="405" t="e">
        <f t="shared" si="129"/>
        <v>#REF!</v>
      </c>
      <c r="V159" s="406" t="e">
        <f t="shared" si="130"/>
        <v>#REF!</v>
      </c>
      <c r="W159" s="408"/>
      <c r="X159" s="405" t="e">
        <f t="shared" si="131"/>
        <v>#REF!</v>
      </c>
      <c r="Y159" s="409" t="e">
        <f t="shared" si="132"/>
        <v>#REF!</v>
      </c>
      <c r="Z159" s="410"/>
      <c r="AA159" s="562" t="e">
        <f t="shared" si="123"/>
        <v>#REF!</v>
      </c>
    </row>
    <row r="160" spans="1:34">
      <c r="A160" s="564" t="s">
        <v>270</v>
      </c>
      <c r="B160" s="411" t="e">
        <f>'3-10.ДПЖ'!AA158</f>
        <v>#REF!</v>
      </c>
      <c r="C160" s="1354">
        <f t="shared" si="120"/>
        <v>0.69000000000000006</v>
      </c>
      <c r="D160" s="1355" t="e">
        <f t="shared" si="121"/>
        <v>#REF!</v>
      </c>
      <c r="E160" s="404"/>
      <c r="F160" s="405" t="e">
        <f t="shared" si="124"/>
        <v>#REF!</v>
      </c>
      <c r="G160" s="406" t="e">
        <f t="shared" si="122"/>
        <v>#REF!</v>
      </c>
      <c r="H160" s="404">
        <v>0.3</v>
      </c>
      <c r="I160" s="405" t="e">
        <f>B160*H160</f>
        <v>#REF!</v>
      </c>
      <c r="J160" s="406" t="e">
        <f>I160*Затраты!X$59</f>
        <v>#REF!</v>
      </c>
      <c r="K160" s="408">
        <v>0.24</v>
      </c>
      <c r="L160" s="405" t="e">
        <f t="shared" si="126"/>
        <v>#REF!</v>
      </c>
      <c r="M160" s="406" t="e">
        <f>L160*Затраты!X$60</f>
        <v>#REF!</v>
      </c>
      <c r="N160" s="408"/>
      <c r="O160" s="405" t="e">
        <f t="shared" si="127"/>
        <v>#REF!</v>
      </c>
      <c r="P160" s="406" t="e">
        <f>O160*Затраты!X$61</f>
        <v>#REF!</v>
      </c>
      <c r="Q160" s="408"/>
      <c r="R160" s="405" t="e">
        <f t="shared" si="128"/>
        <v>#REF!</v>
      </c>
      <c r="S160" s="406"/>
      <c r="T160" s="408">
        <v>0.15</v>
      </c>
      <c r="U160" s="405" t="e">
        <f t="shared" si="129"/>
        <v>#REF!</v>
      </c>
      <c r="V160" s="406" t="e">
        <f>+U160*45</f>
        <v>#REF!</v>
      </c>
      <c r="W160" s="408"/>
      <c r="X160" s="405" t="e">
        <f t="shared" si="131"/>
        <v>#REF!</v>
      </c>
      <c r="Y160" s="409" t="e">
        <f t="shared" si="132"/>
        <v>#REF!</v>
      </c>
      <c r="Z160" s="412"/>
      <c r="AA160" s="562" t="e">
        <f t="shared" si="123"/>
        <v>#REF!</v>
      </c>
    </row>
    <row r="161" spans="1:34" ht="12" thickBot="1">
      <c r="A161" s="565" t="s">
        <v>272</v>
      </c>
      <c r="B161" s="566" t="e">
        <f>'3-10.ДПЖ'!AA159</f>
        <v>#REF!</v>
      </c>
      <c r="C161" s="1356">
        <f t="shared" si="120"/>
        <v>0.69000000000000006</v>
      </c>
      <c r="D161" s="1357" t="e">
        <f t="shared" si="121"/>
        <v>#REF!</v>
      </c>
      <c r="E161" s="567"/>
      <c r="F161" s="570" t="e">
        <f t="shared" si="124"/>
        <v>#REF!</v>
      </c>
      <c r="G161" s="569" t="e">
        <f t="shared" si="122"/>
        <v>#REF!</v>
      </c>
      <c r="H161" s="567">
        <v>0.3</v>
      </c>
      <c r="I161" s="570" t="e">
        <f>B161*H161</f>
        <v>#REF!</v>
      </c>
      <c r="J161" s="569" t="e">
        <f>I161*Затраты!X$59</f>
        <v>#REF!</v>
      </c>
      <c r="K161" s="571">
        <v>0.24</v>
      </c>
      <c r="L161" s="570" t="e">
        <f t="shared" si="126"/>
        <v>#REF!</v>
      </c>
      <c r="M161" s="569" t="e">
        <f>L161*Затраты!X$60</f>
        <v>#REF!</v>
      </c>
      <c r="N161" s="571"/>
      <c r="O161" s="570" t="e">
        <f t="shared" si="127"/>
        <v>#REF!</v>
      </c>
      <c r="P161" s="569" t="e">
        <f>O161*Затраты!X$61</f>
        <v>#REF!</v>
      </c>
      <c r="Q161" s="571"/>
      <c r="R161" s="570" t="e">
        <f t="shared" si="128"/>
        <v>#REF!</v>
      </c>
      <c r="S161" s="569"/>
      <c r="T161" s="571">
        <v>0.15</v>
      </c>
      <c r="U161" s="570" t="e">
        <f t="shared" si="129"/>
        <v>#REF!</v>
      </c>
      <c r="V161" s="569" t="e">
        <f>+U161*45</f>
        <v>#REF!</v>
      </c>
      <c r="W161" s="571"/>
      <c r="X161" s="570" t="e">
        <f t="shared" si="131"/>
        <v>#REF!</v>
      </c>
      <c r="Y161" s="572" t="e">
        <f t="shared" si="132"/>
        <v>#REF!</v>
      </c>
      <c r="Z161" s="573"/>
      <c r="AA161" s="574" t="e">
        <f t="shared" si="123"/>
        <v>#REF!</v>
      </c>
    </row>
    <row r="162" spans="1:34" ht="12" thickTop="1">
      <c r="A162" s="549" t="s">
        <v>336</v>
      </c>
    </row>
    <row r="163" spans="1:34" ht="12" thickBot="1">
      <c r="A163" s="413">
        <f>+A140+1</f>
        <v>2026</v>
      </c>
      <c r="E163" s="357" t="s">
        <v>469</v>
      </c>
      <c r="AA163" s="1294" t="s">
        <v>552</v>
      </c>
    </row>
    <row r="164" spans="1:34" ht="12.75" thickTop="1" thickBot="1">
      <c r="A164" s="2081" t="s">
        <v>224</v>
      </c>
      <c r="B164" s="2083" t="s">
        <v>308</v>
      </c>
      <c r="C164" s="2085" t="s">
        <v>309</v>
      </c>
      <c r="D164" s="2086"/>
      <c r="E164" s="2089" t="s">
        <v>310</v>
      </c>
      <c r="F164" s="2089"/>
      <c r="G164" s="2089"/>
      <c r="H164" s="2089"/>
      <c r="I164" s="2089"/>
      <c r="J164" s="2089"/>
      <c r="K164" s="2089"/>
      <c r="L164" s="2089"/>
      <c r="M164" s="2089"/>
      <c r="N164" s="2089"/>
      <c r="O164" s="2089"/>
      <c r="P164" s="2089"/>
      <c r="Q164" s="2089"/>
      <c r="R164" s="2089"/>
      <c r="S164" s="2089"/>
      <c r="T164" s="2089"/>
      <c r="U164" s="2089"/>
      <c r="V164" s="2089"/>
      <c r="W164" s="2089"/>
      <c r="X164" s="2089"/>
      <c r="Y164" s="2090"/>
      <c r="Z164" s="2091" t="s">
        <v>311</v>
      </c>
      <c r="AA164" s="2075" t="s">
        <v>312</v>
      </c>
    </row>
    <row r="165" spans="1:34" ht="11.25" customHeight="1">
      <c r="A165" s="2082"/>
      <c r="B165" s="2084"/>
      <c r="C165" s="2087"/>
      <c r="D165" s="2088"/>
      <c r="E165" s="2077" t="s">
        <v>313</v>
      </c>
      <c r="F165" s="2078"/>
      <c r="G165" s="2079"/>
      <c r="H165" s="2077" t="s">
        <v>210</v>
      </c>
      <c r="I165" s="2078"/>
      <c r="J165" s="2079"/>
      <c r="K165" s="2093" t="s">
        <v>338</v>
      </c>
      <c r="L165" s="2094"/>
      <c r="M165" s="2095"/>
      <c r="N165" s="2077" t="s">
        <v>337</v>
      </c>
      <c r="O165" s="2078"/>
      <c r="P165" s="2079"/>
      <c r="Q165" s="2077" t="s">
        <v>278</v>
      </c>
      <c r="R165" s="2078"/>
      <c r="S165" s="2079"/>
      <c r="T165" s="2077" t="s">
        <v>330</v>
      </c>
      <c r="U165" s="2078"/>
      <c r="V165" s="2079"/>
      <c r="W165" s="2077" t="s">
        <v>468</v>
      </c>
      <c r="X165" s="2078"/>
      <c r="Y165" s="2080"/>
      <c r="Z165" s="2092"/>
      <c r="AA165" s="2076"/>
    </row>
    <row r="166" spans="1:34" ht="33.75">
      <c r="A166" s="2082"/>
      <c r="B166" s="2084"/>
      <c r="C166" s="907" t="s">
        <v>314</v>
      </c>
      <c r="D166" s="908" t="s">
        <v>315</v>
      </c>
      <c r="E166" s="361" t="s">
        <v>316</v>
      </c>
      <c r="F166" s="362" t="s">
        <v>315</v>
      </c>
      <c r="G166" s="363" t="s">
        <v>317</v>
      </c>
      <c r="H166" s="361" t="s">
        <v>318</v>
      </c>
      <c r="I166" s="362" t="s">
        <v>315</v>
      </c>
      <c r="J166" s="363" t="s">
        <v>317</v>
      </c>
      <c r="K166" s="361" t="s">
        <v>316</v>
      </c>
      <c r="L166" s="362" t="s">
        <v>315</v>
      </c>
      <c r="M166" s="363" t="s">
        <v>317</v>
      </c>
      <c r="N166" s="361" t="s">
        <v>316</v>
      </c>
      <c r="O166" s="362" t="s">
        <v>315</v>
      </c>
      <c r="P166" s="363" t="s">
        <v>317</v>
      </c>
      <c r="Q166" s="361" t="s">
        <v>314</v>
      </c>
      <c r="R166" s="362" t="s">
        <v>315</v>
      </c>
      <c r="S166" s="363" t="s">
        <v>317</v>
      </c>
      <c r="T166" s="361" t="s">
        <v>316</v>
      </c>
      <c r="U166" s="362" t="s">
        <v>315</v>
      </c>
      <c r="V166" s="363" t="s">
        <v>317</v>
      </c>
      <c r="W166" s="361" t="s">
        <v>316</v>
      </c>
      <c r="X166" s="362" t="s">
        <v>315</v>
      </c>
      <c r="Y166" s="364" t="s">
        <v>317</v>
      </c>
      <c r="Z166" s="2092"/>
      <c r="AA166" s="2076"/>
    </row>
    <row r="167" spans="1:34" ht="12" thickBot="1">
      <c r="A167" s="553" t="s">
        <v>305</v>
      </c>
      <c r="B167" s="365">
        <v>1</v>
      </c>
      <c r="C167" s="366">
        <v>2</v>
      </c>
      <c r="D167" s="367">
        <v>3</v>
      </c>
      <c r="E167" s="368">
        <v>2</v>
      </c>
      <c r="F167" s="369">
        <v>3</v>
      </c>
      <c r="G167" s="370">
        <v>4</v>
      </c>
      <c r="H167" s="368">
        <v>5</v>
      </c>
      <c r="I167" s="369">
        <v>6</v>
      </c>
      <c r="J167" s="370">
        <v>7</v>
      </c>
      <c r="K167" s="371">
        <v>8</v>
      </c>
      <c r="L167" s="372">
        <v>9</v>
      </c>
      <c r="M167" s="370">
        <v>10</v>
      </c>
      <c r="N167" s="368">
        <v>11</v>
      </c>
      <c r="O167" s="369">
        <v>12</v>
      </c>
      <c r="P167" s="370">
        <v>13</v>
      </c>
      <c r="Q167" s="368">
        <v>14</v>
      </c>
      <c r="R167" s="369">
        <v>15</v>
      </c>
      <c r="S167" s="370">
        <v>16</v>
      </c>
      <c r="T167" s="368">
        <v>17</v>
      </c>
      <c r="U167" s="369">
        <v>18</v>
      </c>
      <c r="V167" s="370">
        <v>19</v>
      </c>
      <c r="W167" s="368">
        <v>20</v>
      </c>
      <c r="X167" s="369">
        <v>21</v>
      </c>
      <c r="Y167" s="373">
        <v>22</v>
      </c>
      <c r="Z167" s="368">
        <v>55</v>
      </c>
      <c r="AA167" s="554">
        <v>23</v>
      </c>
    </row>
    <row r="168" spans="1:34">
      <c r="A168" s="575"/>
      <c r="B168" s="424"/>
      <c r="C168" s="425"/>
      <c r="D168" s="426"/>
      <c r="E168" s="377"/>
      <c r="F168" s="378"/>
      <c r="G168" s="379"/>
      <c r="H168" s="377"/>
      <c r="I168" s="378"/>
      <c r="J168" s="379"/>
      <c r="K168" s="380"/>
      <c r="L168" s="381"/>
      <c r="M168" s="379"/>
      <c r="N168" s="377"/>
      <c r="O168" s="378"/>
      <c r="P168" s="379"/>
      <c r="Q168" s="377"/>
      <c r="R168" s="378"/>
      <c r="S168" s="379"/>
      <c r="T168" s="377"/>
      <c r="U168" s="378"/>
      <c r="V168" s="379"/>
      <c r="W168" s="427"/>
      <c r="X168" s="428"/>
      <c r="Y168" s="429"/>
      <c r="Z168" s="427"/>
      <c r="AA168" s="576"/>
    </row>
    <row r="169" spans="1:34">
      <c r="A169" s="557" t="s">
        <v>306</v>
      </c>
      <c r="B169" s="383" t="e">
        <f>B170+B173</f>
        <v>#REF!</v>
      </c>
      <c r="C169" s="384"/>
      <c r="D169" s="385"/>
      <c r="E169" s="386">
        <f t="shared" ref="E169:Y169" si="133">E170+E173</f>
        <v>0</v>
      </c>
      <c r="F169" s="387" t="e">
        <f t="shared" si="133"/>
        <v>#REF!</v>
      </c>
      <c r="G169" s="389" t="e">
        <f t="shared" si="133"/>
        <v>#REF!</v>
      </c>
      <c r="H169" s="386">
        <f t="shared" si="133"/>
        <v>15.5</v>
      </c>
      <c r="I169" s="387" t="e">
        <f t="shared" si="133"/>
        <v>#REF!</v>
      </c>
      <c r="J169" s="389" t="e">
        <f t="shared" si="133"/>
        <v>#DIV/0!</v>
      </c>
      <c r="K169" s="386">
        <f t="shared" si="133"/>
        <v>3.9400000000000008</v>
      </c>
      <c r="L169" s="387" t="e">
        <f t="shared" si="133"/>
        <v>#REF!</v>
      </c>
      <c r="M169" s="389" t="e">
        <f t="shared" si="133"/>
        <v>#REF!</v>
      </c>
      <c r="N169" s="386">
        <f t="shared" si="133"/>
        <v>0.36</v>
      </c>
      <c r="O169" s="387" t="e">
        <f t="shared" si="133"/>
        <v>#REF!</v>
      </c>
      <c r="P169" s="389" t="e">
        <f t="shared" si="133"/>
        <v>#REF!</v>
      </c>
      <c r="Q169" s="386">
        <f t="shared" si="133"/>
        <v>0</v>
      </c>
      <c r="R169" s="387" t="e">
        <f t="shared" si="133"/>
        <v>#REF!</v>
      </c>
      <c r="S169" s="389">
        <f t="shared" si="133"/>
        <v>0</v>
      </c>
      <c r="T169" s="386">
        <f t="shared" si="133"/>
        <v>0.3</v>
      </c>
      <c r="U169" s="387" t="e">
        <f t="shared" si="133"/>
        <v>#REF!</v>
      </c>
      <c r="V169" s="389" t="e">
        <f t="shared" si="133"/>
        <v>#REF!</v>
      </c>
      <c r="W169" s="386">
        <f t="shared" si="133"/>
        <v>0</v>
      </c>
      <c r="X169" s="387" t="e">
        <f t="shared" si="133"/>
        <v>#REF!</v>
      </c>
      <c r="Y169" s="416" t="e">
        <f t="shared" si="133"/>
        <v>#REF!</v>
      </c>
      <c r="Z169" s="386">
        <f>Z170+Z173</f>
        <v>0</v>
      </c>
      <c r="AA169" s="558" t="e">
        <f>AA170+AA173</f>
        <v>#REF!</v>
      </c>
    </row>
    <row r="170" spans="1:34" ht="21">
      <c r="A170" s="559" t="s">
        <v>319</v>
      </c>
      <c r="B170" s="393" t="e">
        <f>SUM(B171:B172)</f>
        <v>#REF!</v>
      </c>
      <c r="C170" s="394">
        <f t="shared" ref="C170:G170" si="134">SUM(C171:C172)</f>
        <v>2.96</v>
      </c>
      <c r="D170" s="395" t="e">
        <f t="shared" si="134"/>
        <v>#REF!</v>
      </c>
      <c r="E170" s="396">
        <f t="shared" si="134"/>
        <v>0</v>
      </c>
      <c r="F170" s="397" t="e">
        <f t="shared" si="134"/>
        <v>#REF!</v>
      </c>
      <c r="G170" s="402" t="e">
        <f t="shared" si="134"/>
        <v>#REF!</v>
      </c>
      <c r="H170" s="396">
        <f>SUM(H171:H172)</f>
        <v>2</v>
      </c>
      <c r="I170" s="397" t="e">
        <f t="shared" ref="I170:Z170" si="135">SUM(I171:I172)</f>
        <v>#REF!</v>
      </c>
      <c r="J170" s="402" t="e">
        <f t="shared" si="135"/>
        <v>#DIV/0!</v>
      </c>
      <c r="K170" s="396">
        <f t="shared" si="135"/>
        <v>0.6</v>
      </c>
      <c r="L170" s="397" t="e">
        <f t="shared" si="135"/>
        <v>#REF!</v>
      </c>
      <c r="M170" s="402" t="e">
        <f t="shared" si="135"/>
        <v>#REF!</v>
      </c>
      <c r="N170" s="396">
        <f t="shared" si="135"/>
        <v>0.36</v>
      </c>
      <c r="O170" s="397" t="e">
        <f t="shared" si="135"/>
        <v>#REF!</v>
      </c>
      <c r="P170" s="402" t="e">
        <f t="shared" si="135"/>
        <v>#REF!</v>
      </c>
      <c r="Q170" s="396">
        <f t="shared" si="135"/>
        <v>0</v>
      </c>
      <c r="R170" s="397" t="e">
        <f t="shared" si="135"/>
        <v>#REF!</v>
      </c>
      <c r="S170" s="402">
        <f t="shared" si="135"/>
        <v>0</v>
      </c>
      <c r="T170" s="396">
        <f t="shared" si="135"/>
        <v>0</v>
      </c>
      <c r="U170" s="397" t="e">
        <f t="shared" si="135"/>
        <v>#REF!</v>
      </c>
      <c r="V170" s="402" t="e">
        <f t="shared" si="135"/>
        <v>#REF!</v>
      </c>
      <c r="W170" s="396">
        <f t="shared" si="135"/>
        <v>0</v>
      </c>
      <c r="X170" s="397" t="e">
        <f t="shared" si="135"/>
        <v>#REF!</v>
      </c>
      <c r="Y170" s="417" t="e">
        <f t="shared" si="135"/>
        <v>#REF!</v>
      </c>
      <c r="Z170" s="396">
        <f t="shared" si="135"/>
        <v>0</v>
      </c>
      <c r="AA170" s="560" t="e">
        <f>SUM(AA171:AA172)</f>
        <v>#REF!</v>
      </c>
      <c r="AD170" s="2074" t="s">
        <v>77</v>
      </c>
      <c r="AE170" s="2074"/>
      <c r="AF170" s="2074"/>
      <c r="AG170" s="2074"/>
      <c r="AH170" s="2074"/>
    </row>
    <row r="171" spans="1:34">
      <c r="A171" s="561" t="s">
        <v>244</v>
      </c>
      <c r="B171" s="403" t="e">
        <f>'3-10.ДПЖ'!AA170</f>
        <v>#REF!</v>
      </c>
      <c r="C171" s="1354">
        <f t="shared" ref="C171:C172" si="136">+E171+H171+K171+N171+T171</f>
        <v>0</v>
      </c>
      <c r="D171" s="1355" t="e">
        <f t="shared" ref="D171:D172" si="137">+F171+I171+L171+O171+U171</f>
        <v>#REF!</v>
      </c>
      <c r="E171" s="404"/>
      <c r="F171" s="405" t="e">
        <f>E171*B171</f>
        <v>#REF!</v>
      </c>
      <c r="G171" s="406" t="e">
        <f t="shared" ref="G171:G172" si="138">F171*20</f>
        <v>#REF!</v>
      </c>
      <c r="H171" s="404"/>
      <c r="I171" s="405"/>
      <c r="J171" s="406" t="e">
        <f>I171*Затраты!X$68</f>
        <v>#DIV/0!</v>
      </c>
      <c r="K171" s="407"/>
      <c r="L171" s="405" t="e">
        <f>B171*K171</f>
        <v>#REF!</v>
      </c>
      <c r="M171" s="406" t="e">
        <f>L171*Затраты!X$69</f>
        <v>#REF!</v>
      </c>
      <c r="N171" s="408"/>
      <c r="O171" s="405" t="e">
        <f>B171*N171</f>
        <v>#REF!</v>
      </c>
      <c r="P171" s="406" t="e">
        <f>O171*Затраты!X$70</f>
        <v>#REF!</v>
      </c>
      <c r="Q171" s="408"/>
      <c r="R171" s="405" t="e">
        <f>B171*Q171</f>
        <v>#REF!</v>
      </c>
      <c r="S171" s="406"/>
      <c r="T171" s="408"/>
      <c r="U171" s="405" t="e">
        <f>B171*T171</f>
        <v>#REF!</v>
      </c>
      <c r="V171" s="406" t="e">
        <f>U171*20</f>
        <v>#REF!</v>
      </c>
      <c r="W171" s="408"/>
      <c r="X171" s="405" t="e">
        <f>B171*W171</f>
        <v>#REF!</v>
      </c>
      <c r="Y171" s="409" t="e">
        <f>X171*15</f>
        <v>#REF!</v>
      </c>
      <c r="Z171" s="419"/>
      <c r="AA171" s="562" t="e">
        <f>G171+J171+P171+S171+V171+Y171+Z171+M171</f>
        <v>#REF!</v>
      </c>
    </row>
    <row r="172" spans="1:34">
      <c r="A172" s="561" t="s">
        <v>260</v>
      </c>
      <c r="B172" s="403" t="e">
        <f>'3-10.ДПЖ'!AA171</f>
        <v>#REF!</v>
      </c>
      <c r="C172" s="1354">
        <f t="shared" si="136"/>
        <v>2.96</v>
      </c>
      <c r="D172" s="1355" t="e">
        <f t="shared" si="137"/>
        <v>#REF!</v>
      </c>
      <c r="E172" s="404"/>
      <c r="F172" s="405" t="e">
        <f>E172*B172</f>
        <v>#REF!</v>
      </c>
      <c r="G172" s="406" t="e">
        <f t="shared" si="138"/>
        <v>#REF!</v>
      </c>
      <c r="H172" s="404">
        <v>2</v>
      </c>
      <c r="I172" s="405" t="e">
        <f>B172*H172</f>
        <v>#REF!</v>
      </c>
      <c r="J172" s="406" t="e">
        <f>I172*Затраты!X$68</f>
        <v>#REF!</v>
      </c>
      <c r="K172" s="407">
        <v>0.6</v>
      </c>
      <c r="L172" s="405" t="e">
        <f>B172*K172</f>
        <v>#REF!</v>
      </c>
      <c r="M172" s="406" t="e">
        <f>L172*Затраты!X$69</f>
        <v>#REF!</v>
      </c>
      <c r="N172" s="408">
        <v>0.36</v>
      </c>
      <c r="O172" s="405" t="e">
        <f>B172*N172</f>
        <v>#REF!</v>
      </c>
      <c r="P172" s="406" t="e">
        <f>O172*Затраты!X$70</f>
        <v>#REF!</v>
      </c>
      <c r="Q172" s="408"/>
      <c r="R172" s="405" t="e">
        <f>B172*Q172</f>
        <v>#REF!</v>
      </c>
      <c r="S172" s="406"/>
      <c r="T172" s="408"/>
      <c r="U172" s="405" t="e">
        <f>B172*T172</f>
        <v>#REF!</v>
      </c>
      <c r="V172" s="406" t="e">
        <f>U172*20</f>
        <v>#REF!</v>
      </c>
      <c r="W172" s="408"/>
      <c r="X172" s="405" t="e">
        <f>B172*W172</f>
        <v>#REF!</v>
      </c>
      <c r="Y172" s="409" t="e">
        <f>X172*15</f>
        <v>#REF!</v>
      </c>
      <c r="Z172" s="419"/>
      <c r="AA172" s="562" t="e">
        <f>G172+J172+P172+S172+V172+Y172+Z172+M172</f>
        <v>#REF!</v>
      </c>
    </row>
    <row r="173" spans="1:34" ht="21">
      <c r="A173" s="559" t="s">
        <v>320</v>
      </c>
      <c r="B173" s="393" t="e">
        <f>SUM(B174:B184)</f>
        <v>#REF!</v>
      </c>
      <c r="C173" s="394">
        <f t="shared" ref="C173:AA173" si="139">SUM(C174:C184)</f>
        <v>17.14</v>
      </c>
      <c r="D173" s="395" t="e">
        <f t="shared" si="139"/>
        <v>#REF!</v>
      </c>
      <c r="E173" s="396">
        <f t="shared" si="139"/>
        <v>0</v>
      </c>
      <c r="F173" s="397" t="e">
        <f t="shared" si="139"/>
        <v>#REF!</v>
      </c>
      <c r="G173" s="398" t="e">
        <f t="shared" si="139"/>
        <v>#REF!</v>
      </c>
      <c r="H173" s="396">
        <f t="shared" si="139"/>
        <v>13.5</v>
      </c>
      <c r="I173" s="397" t="e">
        <f t="shared" si="139"/>
        <v>#REF!</v>
      </c>
      <c r="J173" s="402" t="e">
        <f t="shared" si="139"/>
        <v>#REF!</v>
      </c>
      <c r="K173" s="396">
        <f t="shared" si="139"/>
        <v>3.3400000000000007</v>
      </c>
      <c r="L173" s="397" t="e">
        <f t="shared" si="139"/>
        <v>#REF!</v>
      </c>
      <c r="M173" s="402" t="e">
        <f t="shared" si="139"/>
        <v>#REF!</v>
      </c>
      <c r="N173" s="396">
        <f t="shared" si="139"/>
        <v>0</v>
      </c>
      <c r="O173" s="397" t="e">
        <f t="shared" si="139"/>
        <v>#REF!</v>
      </c>
      <c r="P173" s="402" t="e">
        <f t="shared" si="139"/>
        <v>#REF!</v>
      </c>
      <c r="Q173" s="396">
        <f t="shared" si="139"/>
        <v>0</v>
      </c>
      <c r="R173" s="397" t="e">
        <f t="shared" si="139"/>
        <v>#REF!</v>
      </c>
      <c r="S173" s="402">
        <f t="shared" si="139"/>
        <v>0</v>
      </c>
      <c r="T173" s="396">
        <f t="shared" si="139"/>
        <v>0.3</v>
      </c>
      <c r="U173" s="397" t="e">
        <f t="shared" si="139"/>
        <v>#REF!</v>
      </c>
      <c r="V173" s="402" t="e">
        <f t="shared" si="139"/>
        <v>#REF!</v>
      </c>
      <c r="W173" s="396">
        <f t="shared" si="139"/>
        <v>0</v>
      </c>
      <c r="X173" s="397" t="e">
        <f t="shared" si="139"/>
        <v>#REF!</v>
      </c>
      <c r="Y173" s="417" t="e">
        <f t="shared" si="139"/>
        <v>#REF!</v>
      </c>
      <c r="Z173" s="396">
        <f t="shared" si="139"/>
        <v>0</v>
      </c>
      <c r="AA173" s="560" t="e">
        <f t="shared" si="139"/>
        <v>#REF!</v>
      </c>
    </row>
    <row r="174" spans="1:34">
      <c r="A174" s="563" t="s">
        <v>258</v>
      </c>
      <c r="B174" s="411" t="e">
        <f>'3-10.ДПЖ'!AA172</f>
        <v>#REF!</v>
      </c>
      <c r="C174" s="1354">
        <f t="shared" ref="C174:C184" si="140">+E174+H174+K174+N174+T174</f>
        <v>2</v>
      </c>
      <c r="D174" s="1355" t="e">
        <f t="shared" ref="D174:D184" si="141">+F174+I174+L174+O174+U174</f>
        <v>#REF!</v>
      </c>
      <c r="E174" s="404"/>
      <c r="F174" s="405" t="e">
        <f>E174*B174</f>
        <v>#REF!</v>
      </c>
      <c r="G174" s="406" t="e">
        <f t="shared" ref="G174:G184" si="142">F174*20</f>
        <v>#REF!</v>
      </c>
      <c r="H174" s="404">
        <v>2</v>
      </c>
      <c r="I174" s="405" t="e">
        <f>B174*H174</f>
        <v>#REF!</v>
      </c>
      <c r="J174" s="406" t="e">
        <f>I174*Затраты!X$68</f>
        <v>#REF!</v>
      </c>
      <c r="K174" s="408"/>
      <c r="L174" s="405" t="e">
        <f>B174*K174</f>
        <v>#REF!</v>
      </c>
      <c r="M174" s="406" t="e">
        <f>L174*Затраты!X$69</f>
        <v>#REF!</v>
      </c>
      <c r="N174" s="408"/>
      <c r="O174" s="405" t="e">
        <f>B174*N174</f>
        <v>#REF!</v>
      </c>
      <c r="P174" s="406" t="e">
        <f>O174*Затраты!X$70</f>
        <v>#REF!</v>
      </c>
      <c r="Q174" s="408"/>
      <c r="R174" s="405" t="e">
        <f>B174*Q174</f>
        <v>#REF!</v>
      </c>
      <c r="S174" s="406"/>
      <c r="T174" s="408"/>
      <c r="U174" s="405" t="e">
        <f>B174*T174</f>
        <v>#REF!</v>
      </c>
      <c r="V174" s="406" t="e">
        <f>U174*20</f>
        <v>#REF!</v>
      </c>
      <c r="W174" s="408"/>
      <c r="X174" s="405" t="e">
        <f>B174*W174</f>
        <v>#REF!</v>
      </c>
      <c r="Y174" s="409" t="e">
        <f>X174*15</f>
        <v>#REF!</v>
      </c>
      <c r="Z174" s="410"/>
      <c r="AA174" s="562" t="e">
        <f t="shared" ref="AA174:AA184" si="143">G174+J174+P174+S174+V174+Y174+Z174+M174</f>
        <v>#REF!</v>
      </c>
    </row>
    <row r="175" spans="1:34">
      <c r="A175" s="563" t="s">
        <v>261</v>
      </c>
      <c r="B175" s="411" t="e">
        <f>'3-10.ДПЖ'!AA173</f>
        <v>#REF!</v>
      </c>
      <c r="C175" s="1354">
        <f t="shared" si="140"/>
        <v>3.1</v>
      </c>
      <c r="D175" s="1355" t="e">
        <f t="shared" si="141"/>
        <v>#REF!</v>
      </c>
      <c r="E175" s="404"/>
      <c r="F175" s="405" t="e">
        <f t="shared" ref="F175:F184" si="144">E175*B175</f>
        <v>#REF!</v>
      </c>
      <c r="G175" s="406" t="e">
        <f t="shared" si="142"/>
        <v>#REF!</v>
      </c>
      <c r="H175" s="404">
        <v>2.5</v>
      </c>
      <c r="I175" s="405" t="e">
        <f t="shared" ref="I175:I182" si="145">B175*H175</f>
        <v>#REF!</v>
      </c>
      <c r="J175" s="406" t="e">
        <f>I175*Затраты!X$68</f>
        <v>#REF!</v>
      </c>
      <c r="K175" s="408">
        <v>0.6</v>
      </c>
      <c r="L175" s="405" t="e">
        <f t="shared" ref="L175:L184" si="146">B175*K175</f>
        <v>#REF!</v>
      </c>
      <c r="M175" s="406" t="e">
        <f>L175*Затраты!X$69</f>
        <v>#REF!</v>
      </c>
      <c r="N175" s="408"/>
      <c r="O175" s="405" t="e">
        <f t="shared" ref="O175:O184" si="147">B175*N175</f>
        <v>#REF!</v>
      </c>
      <c r="P175" s="406" t="e">
        <f>O175*Затраты!X$70</f>
        <v>#REF!</v>
      </c>
      <c r="Q175" s="408"/>
      <c r="R175" s="405" t="e">
        <f t="shared" ref="R175:R184" si="148">B175*Q175</f>
        <v>#REF!</v>
      </c>
      <c r="S175" s="406"/>
      <c r="T175" s="408"/>
      <c r="U175" s="405" t="e">
        <f t="shared" ref="U175:U184" si="149">B175*T175</f>
        <v>#REF!</v>
      </c>
      <c r="V175" s="406" t="e">
        <f t="shared" ref="V175:V182" si="150">U175*20</f>
        <v>#REF!</v>
      </c>
      <c r="W175" s="408"/>
      <c r="X175" s="405" t="e">
        <f t="shared" ref="X175:X184" si="151">B175*W175</f>
        <v>#REF!</v>
      </c>
      <c r="Y175" s="409" t="e">
        <f t="shared" ref="Y175:Y184" si="152">X175*15</f>
        <v>#REF!</v>
      </c>
      <c r="Z175" s="410"/>
      <c r="AA175" s="562" t="e">
        <f t="shared" si="143"/>
        <v>#REF!</v>
      </c>
    </row>
    <row r="176" spans="1:34">
      <c r="A176" s="563" t="s">
        <v>263</v>
      </c>
      <c r="B176" s="411" t="e">
        <f>'3-10.ДПЖ'!AA174</f>
        <v>#REF!</v>
      </c>
      <c r="C176" s="1354">
        <f t="shared" si="140"/>
        <v>2.4</v>
      </c>
      <c r="D176" s="1355" t="e">
        <f t="shared" si="141"/>
        <v>#REF!</v>
      </c>
      <c r="E176" s="404"/>
      <c r="F176" s="405" t="e">
        <f t="shared" si="144"/>
        <v>#REF!</v>
      </c>
      <c r="G176" s="406" t="e">
        <f t="shared" si="142"/>
        <v>#REF!</v>
      </c>
      <c r="H176" s="404">
        <v>2</v>
      </c>
      <c r="I176" s="405" t="e">
        <f t="shared" si="145"/>
        <v>#REF!</v>
      </c>
      <c r="J176" s="406" t="e">
        <f>I176*Затраты!X$68</f>
        <v>#REF!</v>
      </c>
      <c r="K176" s="408">
        <v>0.4</v>
      </c>
      <c r="L176" s="405" t="e">
        <f t="shared" si="146"/>
        <v>#REF!</v>
      </c>
      <c r="M176" s="406" t="e">
        <f>L176*Затраты!X$69</f>
        <v>#REF!</v>
      </c>
      <c r="N176" s="408"/>
      <c r="O176" s="405" t="e">
        <f t="shared" si="147"/>
        <v>#REF!</v>
      </c>
      <c r="P176" s="406" t="e">
        <f>O176*Затраты!X$70</f>
        <v>#REF!</v>
      </c>
      <c r="Q176" s="408"/>
      <c r="R176" s="405" t="e">
        <f t="shared" si="148"/>
        <v>#REF!</v>
      </c>
      <c r="S176" s="406"/>
      <c r="T176" s="408"/>
      <c r="U176" s="405" t="e">
        <f t="shared" si="149"/>
        <v>#REF!</v>
      </c>
      <c r="V176" s="406" t="e">
        <f t="shared" si="150"/>
        <v>#REF!</v>
      </c>
      <c r="W176" s="408"/>
      <c r="X176" s="405" t="e">
        <f t="shared" si="151"/>
        <v>#REF!</v>
      </c>
      <c r="Y176" s="409" t="e">
        <f t="shared" si="152"/>
        <v>#REF!</v>
      </c>
      <c r="Z176" s="410"/>
      <c r="AA176" s="562" t="e">
        <f t="shared" si="143"/>
        <v>#REF!</v>
      </c>
    </row>
    <row r="177" spans="1:27">
      <c r="A177" s="563" t="s">
        <v>264</v>
      </c>
      <c r="B177" s="411" t="e">
        <f>'3-10.ДПЖ'!AA175</f>
        <v>#REF!</v>
      </c>
      <c r="C177" s="1354">
        <f t="shared" si="140"/>
        <v>1.9500000000000002</v>
      </c>
      <c r="D177" s="1355" t="e">
        <f t="shared" si="141"/>
        <v>#REF!</v>
      </c>
      <c r="E177" s="404"/>
      <c r="F177" s="405" t="e">
        <f t="shared" si="144"/>
        <v>#REF!</v>
      </c>
      <c r="G177" s="406" t="e">
        <f t="shared" si="142"/>
        <v>#REF!</v>
      </c>
      <c r="H177" s="404">
        <v>1.6</v>
      </c>
      <c r="I177" s="405" t="e">
        <f t="shared" si="145"/>
        <v>#REF!</v>
      </c>
      <c r="J177" s="406" t="e">
        <f>I177*Затраты!X$68</f>
        <v>#REF!</v>
      </c>
      <c r="K177" s="408">
        <v>0.35</v>
      </c>
      <c r="L177" s="405" t="e">
        <f t="shared" si="146"/>
        <v>#REF!</v>
      </c>
      <c r="M177" s="406" t="e">
        <f>L177*Затраты!X$69</f>
        <v>#REF!</v>
      </c>
      <c r="N177" s="408"/>
      <c r="O177" s="405" t="e">
        <f t="shared" si="147"/>
        <v>#REF!</v>
      </c>
      <c r="P177" s="406" t="e">
        <f>O177*Затраты!X$70</f>
        <v>#REF!</v>
      </c>
      <c r="Q177" s="408"/>
      <c r="R177" s="405" t="e">
        <f t="shared" si="148"/>
        <v>#REF!</v>
      </c>
      <c r="S177" s="406"/>
      <c r="T177" s="408"/>
      <c r="U177" s="405" t="e">
        <f t="shared" si="149"/>
        <v>#REF!</v>
      </c>
      <c r="V177" s="406" t="e">
        <f t="shared" si="150"/>
        <v>#REF!</v>
      </c>
      <c r="W177" s="408"/>
      <c r="X177" s="405" t="e">
        <f t="shared" si="151"/>
        <v>#REF!</v>
      </c>
      <c r="Y177" s="409" t="e">
        <f t="shared" si="152"/>
        <v>#REF!</v>
      </c>
      <c r="Z177" s="410"/>
      <c r="AA177" s="562" t="e">
        <f t="shared" si="143"/>
        <v>#REF!</v>
      </c>
    </row>
    <row r="178" spans="1:27">
      <c r="A178" s="563" t="s">
        <v>267</v>
      </c>
      <c r="B178" s="411" t="e">
        <f>'3-10.ДПЖ'!AA176</f>
        <v>#REF!</v>
      </c>
      <c r="C178" s="1354">
        <f t="shared" si="140"/>
        <v>1.9500000000000002</v>
      </c>
      <c r="D178" s="1355" t="e">
        <f t="shared" si="141"/>
        <v>#REF!</v>
      </c>
      <c r="E178" s="404"/>
      <c r="F178" s="405" t="e">
        <f t="shared" si="144"/>
        <v>#REF!</v>
      </c>
      <c r="G178" s="406" t="e">
        <f t="shared" si="142"/>
        <v>#REF!</v>
      </c>
      <c r="H178" s="404">
        <v>1.6</v>
      </c>
      <c r="I178" s="405" t="e">
        <f t="shared" si="145"/>
        <v>#REF!</v>
      </c>
      <c r="J178" s="406" t="e">
        <f>I178*Затраты!X$68</f>
        <v>#REF!</v>
      </c>
      <c r="K178" s="408">
        <v>0.35</v>
      </c>
      <c r="L178" s="405" t="e">
        <f t="shared" si="146"/>
        <v>#REF!</v>
      </c>
      <c r="M178" s="406" t="e">
        <f>L178*Затраты!X$69</f>
        <v>#REF!</v>
      </c>
      <c r="N178" s="408"/>
      <c r="O178" s="405" t="e">
        <f t="shared" si="147"/>
        <v>#REF!</v>
      </c>
      <c r="P178" s="406" t="e">
        <f>O178*Затраты!X$70</f>
        <v>#REF!</v>
      </c>
      <c r="Q178" s="408"/>
      <c r="R178" s="405" t="e">
        <f t="shared" si="148"/>
        <v>#REF!</v>
      </c>
      <c r="S178" s="406"/>
      <c r="T178" s="408"/>
      <c r="U178" s="405" t="e">
        <f t="shared" si="149"/>
        <v>#REF!</v>
      </c>
      <c r="V178" s="406" t="e">
        <f t="shared" si="150"/>
        <v>#REF!</v>
      </c>
      <c r="W178" s="408"/>
      <c r="X178" s="405" t="e">
        <f t="shared" si="151"/>
        <v>#REF!</v>
      </c>
      <c r="Y178" s="409" t="e">
        <f t="shared" si="152"/>
        <v>#REF!</v>
      </c>
      <c r="Z178" s="410"/>
      <c r="AA178" s="562" t="e">
        <f t="shared" si="143"/>
        <v>#REF!</v>
      </c>
    </row>
    <row r="179" spans="1:27">
      <c r="A179" s="563" t="s">
        <v>265</v>
      </c>
      <c r="B179" s="411" t="e">
        <f>'3-10.ДПЖ'!AA177</f>
        <v>#REF!</v>
      </c>
      <c r="C179" s="1354">
        <f t="shared" si="140"/>
        <v>1.5</v>
      </c>
      <c r="D179" s="1355" t="e">
        <f t="shared" si="141"/>
        <v>#REF!</v>
      </c>
      <c r="E179" s="404"/>
      <c r="F179" s="405" t="e">
        <f t="shared" si="144"/>
        <v>#REF!</v>
      </c>
      <c r="G179" s="406" t="e">
        <f t="shared" si="142"/>
        <v>#REF!</v>
      </c>
      <c r="H179" s="404">
        <v>1.2</v>
      </c>
      <c r="I179" s="405" t="e">
        <f t="shared" si="145"/>
        <v>#REF!</v>
      </c>
      <c r="J179" s="406" t="e">
        <f>I179*Затраты!X$68</f>
        <v>#REF!</v>
      </c>
      <c r="K179" s="408">
        <v>0.3</v>
      </c>
      <c r="L179" s="405" t="e">
        <f t="shared" si="146"/>
        <v>#REF!</v>
      </c>
      <c r="M179" s="406" t="e">
        <f>L179*Затраты!X$69</f>
        <v>#REF!</v>
      </c>
      <c r="N179" s="408"/>
      <c r="O179" s="405" t="e">
        <f t="shared" si="147"/>
        <v>#REF!</v>
      </c>
      <c r="P179" s="406" t="e">
        <f>O179*Затраты!X$70</f>
        <v>#REF!</v>
      </c>
      <c r="Q179" s="408"/>
      <c r="R179" s="405" t="e">
        <f t="shared" si="148"/>
        <v>#REF!</v>
      </c>
      <c r="S179" s="406"/>
      <c r="T179" s="408"/>
      <c r="U179" s="405" t="e">
        <f t="shared" si="149"/>
        <v>#REF!</v>
      </c>
      <c r="V179" s="406" t="e">
        <f t="shared" si="150"/>
        <v>#REF!</v>
      </c>
      <c r="W179" s="408"/>
      <c r="X179" s="405" t="e">
        <f t="shared" si="151"/>
        <v>#REF!</v>
      </c>
      <c r="Y179" s="409" t="e">
        <f t="shared" si="152"/>
        <v>#REF!</v>
      </c>
      <c r="Z179" s="410"/>
      <c r="AA179" s="562" t="e">
        <f t="shared" si="143"/>
        <v>#REF!</v>
      </c>
    </row>
    <row r="180" spans="1:27">
      <c r="A180" s="563" t="s">
        <v>268</v>
      </c>
      <c r="B180" s="411" t="e">
        <f>'3-10.ДПЖ'!AA178</f>
        <v>#REF!</v>
      </c>
      <c r="C180" s="1354">
        <f t="shared" si="140"/>
        <v>1.5</v>
      </c>
      <c r="D180" s="1355" t="e">
        <f t="shared" si="141"/>
        <v>#REF!</v>
      </c>
      <c r="E180" s="404"/>
      <c r="F180" s="405" t="e">
        <f t="shared" si="144"/>
        <v>#REF!</v>
      </c>
      <c r="G180" s="406" t="e">
        <f t="shared" si="142"/>
        <v>#REF!</v>
      </c>
      <c r="H180" s="404">
        <v>1.2</v>
      </c>
      <c r="I180" s="405" t="e">
        <f t="shared" si="145"/>
        <v>#REF!</v>
      </c>
      <c r="J180" s="406" t="e">
        <f>I180*Затраты!X$68</f>
        <v>#REF!</v>
      </c>
      <c r="K180" s="408">
        <v>0.3</v>
      </c>
      <c r="L180" s="405" t="e">
        <f t="shared" si="146"/>
        <v>#REF!</v>
      </c>
      <c r="M180" s="406" t="e">
        <f>L180*Затраты!X$69</f>
        <v>#REF!</v>
      </c>
      <c r="N180" s="408"/>
      <c r="O180" s="405" t="e">
        <f t="shared" si="147"/>
        <v>#REF!</v>
      </c>
      <c r="P180" s="406" t="e">
        <f>O180*Затраты!X$70</f>
        <v>#REF!</v>
      </c>
      <c r="Q180" s="408"/>
      <c r="R180" s="405" t="e">
        <f t="shared" si="148"/>
        <v>#REF!</v>
      </c>
      <c r="S180" s="406"/>
      <c r="T180" s="408"/>
      <c r="U180" s="405" t="e">
        <f t="shared" si="149"/>
        <v>#REF!</v>
      </c>
      <c r="V180" s="406" t="e">
        <f t="shared" si="150"/>
        <v>#REF!</v>
      </c>
      <c r="W180" s="408"/>
      <c r="X180" s="405" t="e">
        <f t="shared" si="151"/>
        <v>#REF!</v>
      </c>
      <c r="Y180" s="409" t="e">
        <f t="shared" si="152"/>
        <v>#REF!</v>
      </c>
      <c r="Z180" s="410"/>
      <c r="AA180" s="562" t="e">
        <f t="shared" si="143"/>
        <v>#REF!</v>
      </c>
    </row>
    <row r="181" spans="1:27">
      <c r="A181" s="563" t="s">
        <v>266</v>
      </c>
      <c r="B181" s="411" t="e">
        <f>'3-10.ДПЖ'!AA179</f>
        <v>#REF!</v>
      </c>
      <c r="C181" s="1354">
        <f t="shared" si="140"/>
        <v>0.68</v>
      </c>
      <c r="D181" s="1355" t="e">
        <f t="shared" si="141"/>
        <v>#REF!</v>
      </c>
      <c r="E181" s="404"/>
      <c r="F181" s="405" t="e">
        <f t="shared" si="144"/>
        <v>#REF!</v>
      </c>
      <c r="G181" s="406" t="e">
        <f t="shared" si="142"/>
        <v>#REF!</v>
      </c>
      <c r="H181" s="404">
        <v>0.4</v>
      </c>
      <c r="I181" s="405" t="e">
        <f t="shared" si="145"/>
        <v>#REF!</v>
      </c>
      <c r="J181" s="406" t="e">
        <f>I181*Затраты!X$68</f>
        <v>#REF!</v>
      </c>
      <c r="K181" s="408">
        <v>0.28000000000000003</v>
      </c>
      <c r="L181" s="405" t="e">
        <f t="shared" si="146"/>
        <v>#REF!</v>
      </c>
      <c r="M181" s="406" t="e">
        <f>L181*Затраты!X$69</f>
        <v>#REF!</v>
      </c>
      <c r="N181" s="408"/>
      <c r="O181" s="405" t="e">
        <f t="shared" si="147"/>
        <v>#REF!</v>
      </c>
      <c r="P181" s="406" t="e">
        <f>O181*Затраты!X$70</f>
        <v>#REF!</v>
      </c>
      <c r="Q181" s="408"/>
      <c r="R181" s="405" t="e">
        <f t="shared" si="148"/>
        <v>#REF!</v>
      </c>
      <c r="S181" s="406"/>
      <c r="T181" s="408"/>
      <c r="U181" s="405" t="e">
        <f t="shared" si="149"/>
        <v>#REF!</v>
      </c>
      <c r="V181" s="406" t="e">
        <f t="shared" si="150"/>
        <v>#REF!</v>
      </c>
      <c r="W181" s="408"/>
      <c r="X181" s="405" t="e">
        <f t="shared" si="151"/>
        <v>#REF!</v>
      </c>
      <c r="Y181" s="409" t="e">
        <f t="shared" si="152"/>
        <v>#REF!</v>
      </c>
      <c r="Z181" s="410"/>
      <c r="AA181" s="562" t="e">
        <f t="shared" si="143"/>
        <v>#REF!</v>
      </c>
    </row>
    <row r="182" spans="1:27">
      <c r="A182" s="563" t="s">
        <v>269</v>
      </c>
      <c r="B182" s="411" t="e">
        <f>'3-10.ДПЖ'!AA180</f>
        <v>#REF!</v>
      </c>
      <c r="C182" s="1354">
        <f t="shared" si="140"/>
        <v>0.68</v>
      </c>
      <c r="D182" s="1355" t="e">
        <f t="shared" si="141"/>
        <v>#REF!</v>
      </c>
      <c r="E182" s="404"/>
      <c r="F182" s="405" t="e">
        <f t="shared" si="144"/>
        <v>#REF!</v>
      </c>
      <c r="G182" s="406" t="e">
        <f t="shared" si="142"/>
        <v>#REF!</v>
      </c>
      <c r="H182" s="404">
        <v>0.4</v>
      </c>
      <c r="I182" s="405" t="e">
        <f t="shared" si="145"/>
        <v>#REF!</v>
      </c>
      <c r="J182" s="406" t="e">
        <f>I182*Затраты!X$68</f>
        <v>#REF!</v>
      </c>
      <c r="K182" s="408">
        <v>0.28000000000000003</v>
      </c>
      <c r="L182" s="405" t="e">
        <f t="shared" si="146"/>
        <v>#REF!</v>
      </c>
      <c r="M182" s="406" t="e">
        <f>L182*Затраты!X$69</f>
        <v>#REF!</v>
      </c>
      <c r="N182" s="408"/>
      <c r="O182" s="405" t="e">
        <f t="shared" si="147"/>
        <v>#REF!</v>
      </c>
      <c r="P182" s="406" t="e">
        <f>O182*Затраты!X$70</f>
        <v>#REF!</v>
      </c>
      <c r="Q182" s="408"/>
      <c r="R182" s="405" t="e">
        <f t="shared" si="148"/>
        <v>#REF!</v>
      </c>
      <c r="S182" s="406"/>
      <c r="T182" s="408"/>
      <c r="U182" s="405" t="e">
        <f t="shared" si="149"/>
        <v>#REF!</v>
      </c>
      <c r="V182" s="406" t="e">
        <f t="shared" si="150"/>
        <v>#REF!</v>
      </c>
      <c r="W182" s="408"/>
      <c r="X182" s="405" t="e">
        <f t="shared" si="151"/>
        <v>#REF!</v>
      </c>
      <c r="Y182" s="409" t="e">
        <f t="shared" si="152"/>
        <v>#REF!</v>
      </c>
      <c r="Z182" s="410"/>
      <c r="AA182" s="562" t="e">
        <f t="shared" si="143"/>
        <v>#REF!</v>
      </c>
    </row>
    <row r="183" spans="1:27">
      <c r="A183" s="564" t="s">
        <v>270</v>
      </c>
      <c r="B183" s="411" t="e">
        <f>'3-10.ДПЖ'!AA181</f>
        <v>#REF!</v>
      </c>
      <c r="C183" s="1354">
        <f t="shared" si="140"/>
        <v>0.69000000000000006</v>
      </c>
      <c r="D183" s="1355" t="e">
        <f t="shared" si="141"/>
        <v>#REF!</v>
      </c>
      <c r="E183" s="404"/>
      <c r="F183" s="405" t="e">
        <f t="shared" si="144"/>
        <v>#REF!</v>
      </c>
      <c r="G183" s="406" t="e">
        <f t="shared" si="142"/>
        <v>#REF!</v>
      </c>
      <c r="H183" s="404">
        <v>0.3</v>
      </c>
      <c r="I183" s="405" t="e">
        <f>B183*H183</f>
        <v>#REF!</v>
      </c>
      <c r="J183" s="406" t="e">
        <f>I183*Затраты!X$68</f>
        <v>#REF!</v>
      </c>
      <c r="K183" s="408">
        <v>0.24</v>
      </c>
      <c r="L183" s="405" t="e">
        <f t="shared" si="146"/>
        <v>#REF!</v>
      </c>
      <c r="M183" s="406" t="e">
        <f>L183*Затраты!X$69</f>
        <v>#REF!</v>
      </c>
      <c r="N183" s="408"/>
      <c r="O183" s="405" t="e">
        <f t="shared" si="147"/>
        <v>#REF!</v>
      </c>
      <c r="P183" s="406" t="e">
        <f>O183*Затраты!X$70</f>
        <v>#REF!</v>
      </c>
      <c r="Q183" s="408"/>
      <c r="R183" s="405" t="e">
        <f t="shared" si="148"/>
        <v>#REF!</v>
      </c>
      <c r="S183" s="406"/>
      <c r="T183" s="408">
        <v>0.15</v>
      </c>
      <c r="U183" s="405" t="e">
        <f t="shared" si="149"/>
        <v>#REF!</v>
      </c>
      <c r="V183" s="406" t="e">
        <f>+U183*45</f>
        <v>#REF!</v>
      </c>
      <c r="W183" s="408"/>
      <c r="X183" s="405" t="e">
        <f t="shared" si="151"/>
        <v>#REF!</v>
      </c>
      <c r="Y183" s="409" t="e">
        <f t="shared" si="152"/>
        <v>#REF!</v>
      </c>
      <c r="Z183" s="412"/>
      <c r="AA183" s="562" t="e">
        <f t="shared" si="143"/>
        <v>#REF!</v>
      </c>
    </row>
    <row r="184" spans="1:27" ht="12" thickBot="1">
      <c r="A184" s="565" t="s">
        <v>272</v>
      </c>
      <c r="B184" s="566" t="e">
        <f>'3-10.ДПЖ'!AA182</f>
        <v>#REF!</v>
      </c>
      <c r="C184" s="1356">
        <f t="shared" si="140"/>
        <v>0.69000000000000006</v>
      </c>
      <c r="D184" s="1357" t="e">
        <f t="shared" si="141"/>
        <v>#REF!</v>
      </c>
      <c r="E184" s="567"/>
      <c r="F184" s="570" t="e">
        <f t="shared" si="144"/>
        <v>#REF!</v>
      </c>
      <c r="G184" s="569" t="e">
        <f t="shared" si="142"/>
        <v>#REF!</v>
      </c>
      <c r="H184" s="567">
        <v>0.3</v>
      </c>
      <c r="I184" s="570" t="e">
        <f>B184*H184</f>
        <v>#REF!</v>
      </c>
      <c r="J184" s="569" t="e">
        <f>I184*Затраты!X$68</f>
        <v>#REF!</v>
      </c>
      <c r="K184" s="571">
        <v>0.24</v>
      </c>
      <c r="L184" s="570" t="e">
        <f t="shared" si="146"/>
        <v>#REF!</v>
      </c>
      <c r="M184" s="569" t="e">
        <f>L184*Затраты!X$69</f>
        <v>#REF!</v>
      </c>
      <c r="N184" s="571"/>
      <c r="O184" s="570" t="e">
        <f t="shared" si="147"/>
        <v>#REF!</v>
      </c>
      <c r="P184" s="569" t="e">
        <f>O184*Затраты!X$70</f>
        <v>#REF!</v>
      </c>
      <c r="Q184" s="571"/>
      <c r="R184" s="570" t="e">
        <f t="shared" si="148"/>
        <v>#REF!</v>
      </c>
      <c r="S184" s="569"/>
      <c r="T184" s="571">
        <v>0.15</v>
      </c>
      <c r="U184" s="570" t="e">
        <f t="shared" si="149"/>
        <v>#REF!</v>
      </c>
      <c r="V184" s="569" t="e">
        <f>+U184*45</f>
        <v>#REF!</v>
      </c>
      <c r="W184" s="571"/>
      <c r="X184" s="570" t="e">
        <f t="shared" si="151"/>
        <v>#REF!</v>
      </c>
      <c r="Y184" s="572" t="e">
        <f t="shared" si="152"/>
        <v>#REF!</v>
      </c>
      <c r="Z184" s="573"/>
      <c r="AA184" s="574" t="e">
        <f t="shared" si="143"/>
        <v>#REF!</v>
      </c>
    </row>
    <row r="185" spans="1:27" ht="12" thickTop="1"/>
  </sheetData>
  <mergeCells count="114">
    <mergeCell ref="R1:S1"/>
    <mergeCell ref="U1:V1"/>
    <mergeCell ref="A3:A5"/>
    <mergeCell ref="B3:B5"/>
    <mergeCell ref="C3:D4"/>
    <mergeCell ref="E3:Y3"/>
    <mergeCell ref="AA26:AA28"/>
    <mergeCell ref="E27:G27"/>
    <mergeCell ref="H27:J27"/>
    <mergeCell ref="K27:M27"/>
    <mergeCell ref="N27:P27"/>
    <mergeCell ref="Q27:S27"/>
    <mergeCell ref="T27:V27"/>
    <mergeCell ref="W27:Y27"/>
    <mergeCell ref="Z3:Z5"/>
    <mergeCell ref="AA3:AA5"/>
    <mergeCell ref="E4:G4"/>
    <mergeCell ref="H4:J4"/>
    <mergeCell ref="K4:M4"/>
    <mergeCell ref="N4:P4"/>
    <mergeCell ref="Q4:S4"/>
    <mergeCell ref="T4:V4"/>
    <mergeCell ref="W4:Y4"/>
    <mergeCell ref="A49:A51"/>
    <mergeCell ref="B49:B51"/>
    <mergeCell ref="C49:D50"/>
    <mergeCell ref="E49:Y49"/>
    <mergeCell ref="A26:A28"/>
    <mergeCell ref="B26:B28"/>
    <mergeCell ref="C26:D27"/>
    <mergeCell ref="E26:Y26"/>
    <mergeCell ref="Z26:Z28"/>
    <mergeCell ref="Z49:Z51"/>
    <mergeCell ref="AA49:AA51"/>
    <mergeCell ref="E50:G50"/>
    <mergeCell ref="H50:J50"/>
    <mergeCell ref="K50:M50"/>
    <mergeCell ref="N50:P50"/>
    <mergeCell ref="Q50:S50"/>
    <mergeCell ref="T50:V50"/>
    <mergeCell ref="W50:Y50"/>
    <mergeCell ref="A95:A97"/>
    <mergeCell ref="B95:B97"/>
    <mergeCell ref="C95:D96"/>
    <mergeCell ref="E95:Y95"/>
    <mergeCell ref="A72:A74"/>
    <mergeCell ref="B72:B74"/>
    <mergeCell ref="C72:D73"/>
    <mergeCell ref="E72:Y72"/>
    <mergeCell ref="Z72:Z74"/>
    <mergeCell ref="Z95:Z97"/>
    <mergeCell ref="E73:G73"/>
    <mergeCell ref="H73:J73"/>
    <mergeCell ref="K73:M73"/>
    <mergeCell ref="N73:P73"/>
    <mergeCell ref="Q73:S73"/>
    <mergeCell ref="T73:V73"/>
    <mergeCell ref="W96:Y96"/>
    <mergeCell ref="AA118:AA120"/>
    <mergeCell ref="E119:G119"/>
    <mergeCell ref="H119:J119"/>
    <mergeCell ref="K119:M119"/>
    <mergeCell ref="N119:P119"/>
    <mergeCell ref="Q119:S119"/>
    <mergeCell ref="T119:V119"/>
    <mergeCell ref="W119:Y119"/>
    <mergeCell ref="AD9:AH9"/>
    <mergeCell ref="AD32:AH32"/>
    <mergeCell ref="AD55:AH55"/>
    <mergeCell ref="AD78:AH78"/>
    <mergeCell ref="AD101:AH101"/>
    <mergeCell ref="AD124:AH124"/>
    <mergeCell ref="AD147:AH147"/>
    <mergeCell ref="Z164:Z166"/>
    <mergeCell ref="A118:A120"/>
    <mergeCell ref="B118:B120"/>
    <mergeCell ref="C118:D119"/>
    <mergeCell ref="E118:Y118"/>
    <mergeCell ref="Z118:Z120"/>
    <mergeCell ref="AA141:AA143"/>
    <mergeCell ref="E142:G142"/>
    <mergeCell ref="H142:J142"/>
    <mergeCell ref="K142:M142"/>
    <mergeCell ref="N142:P142"/>
    <mergeCell ref="Q142:S142"/>
    <mergeCell ref="T142:V142"/>
    <mergeCell ref="W142:Y142"/>
    <mergeCell ref="A141:A143"/>
    <mergeCell ref="B141:B143"/>
    <mergeCell ref="C141:D142"/>
    <mergeCell ref="AD170:AH170"/>
    <mergeCell ref="AA164:AA166"/>
    <mergeCell ref="AA95:AA97"/>
    <mergeCell ref="AA72:AA74"/>
    <mergeCell ref="T165:V165"/>
    <mergeCell ref="W165:Y165"/>
    <mergeCell ref="A164:A166"/>
    <mergeCell ref="B164:B166"/>
    <mergeCell ref="C164:D165"/>
    <mergeCell ref="E164:Y164"/>
    <mergeCell ref="E141:Y141"/>
    <mergeCell ref="Z141:Z143"/>
    <mergeCell ref="E165:G165"/>
    <mergeCell ref="H165:J165"/>
    <mergeCell ref="K165:M165"/>
    <mergeCell ref="N165:P165"/>
    <mergeCell ref="Q165:S165"/>
    <mergeCell ref="W73:Y73"/>
    <mergeCell ref="E96:G96"/>
    <mergeCell ref="H96:J96"/>
    <mergeCell ref="K96:M96"/>
    <mergeCell ref="N96:P96"/>
    <mergeCell ref="Q96:S96"/>
    <mergeCell ref="T96:V96"/>
  </mergeCells>
  <hyperlinks>
    <hyperlink ref="AD9:AE9" location="начало!A1" display="Переход на начальную страницу"/>
    <hyperlink ref="AD32:AE32" location="начало!A1" display="Переход на начальную страницу"/>
    <hyperlink ref="AD55:AE55" location="начало!A1" display="Переход на начальную страницу"/>
    <hyperlink ref="AD78:AE78" location="начало!A1" display="Переход на начальную страницу"/>
    <hyperlink ref="AD101:AE101" location="начало!A1" display="Переход на начальную страницу"/>
    <hyperlink ref="AD124:AE124" location="начало!A1" display="Переход на начальную страницу"/>
    <hyperlink ref="AD147:AE147" location="начало!A1" display="Переход на начальную страницу"/>
    <hyperlink ref="AD170:AE170" location="начало!A1" display="Переход на начальную страницу"/>
  </hyperlinks>
  <printOptions horizontalCentered="1"/>
  <pageMargins left="0.11811023622047245" right="0.11811023622047245" top="0.15748031496062992" bottom="0.15748031496062992" header="0.51181102362204722" footer="0.51181102362204722"/>
  <pageSetup paperSize="9" scale="91" fitToWidth="0" fitToHeight="0" orientation="landscape" r:id="rId1"/>
  <headerFooter alignWithMargins="0"/>
  <rowBreaks count="1" manualBreakCount="1">
    <brk id="46"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view="pageBreakPreview" topLeftCell="A22" zoomScale="90" zoomScaleNormal="100" zoomScaleSheetLayoutView="90" workbookViewId="0">
      <selection activeCell="K45" sqref="K45"/>
    </sheetView>
  </sheetViews>
  <sheetFormatPr defaultRowHeight="15.75"/>
  <cols>
    <col min="1" max="1" width="5.85546875" style="1" customWidth="1"/>
    <col min="2" max="2" width="38.5703125" style="1" customWidth="1"/>
    <col min="3" max="3" width="12.7109375" style="1" customWidth="1"/>
    <col min="4" max="4" width="15.5703125" style="1" customWidth="1"/>
    <col min="5" max="5" width="16.85546875" style="1" customWidth="1"/>
    <col min="6" max="9" width="17.28515625" style="1" customWidth="1"/>
    <col min="10" max="10" width="9.140625" style="1"/>
    <col min="11" max="11" width="61.42578125" style="4" customWidth="1"/>
    <col min="12" max="17" width="9.140625" style="1"/>
  </cols>
  <sheetData>
    <row r="1" spans="1:17" s="5" customFormat="1" ht="16.5" thickBot="1">
      <c r="A1" s="4"/>
      <c r="B1" s="2131" t="s">
        <v>75</v>
      </c>
      <c r="C1" s="2131"/>
      <c r="D1" s="2131"/>
      <c r="E1" s="2131"/>
      <c r="F1" s="2131"/>
      <c r="G1" s="2131"/>
      <c r="H1" s="2131"/>
      <c r="I1" s="2131"/>
      <c r="J1" s="4"/>
      <c r="K1" s="4"/>
      <c r="L1" s="4"/>
      <c r="M1" s="4"/>
      <c r="N1" s="4"/>
      <c r="O1" s="4"/>
      <c r="P1" s="4"/>
      <c r="Q1" s="4"/>
    </row>
    <row r="2" spans="1:17" s="5" customFormat="1" ht="16.5" customHeight="1" thickTop="1" thickBot="1">
      <c r="A2" s="4"/>
      <c r="B2" s="2128" t="s">
        <v>169</v>
      </c>
      <c r="C2" s="2129"/>
      <c r="D2" s="2129"/>
      <c r="E2" s="2129"/>
      <c r="F2" s="2129"/>
      <c r="G2" s="2129"/>
      <c r="H2" s="2129"/>
      <c r="I2" s="2130"/>
      <c r="J2" s="4"/>
      <c r="K2" s="2107" t="s">
        <v>150</v>
      </c>
      <c r="L2" s="2107"/>
      <c r="M2" s="4"/>
      <c r="N2" s="4"/>
      <c r="O2" s="4"/>
      <c r="P2" s="4"/>
      <c r="Q2" s="4"/>
    </row>
    <row r="3" spans="1:17" s="5" customFormat="1" ht="16.5" customHeight="1" thickBot="1">
      <c r="A3" s="4"/>
      <c r="B3" s="453" t="s">
        <v>151</v>
      </c>
      <c r="C3" s="2125">
        <v>2019</v>
      </c>
      <c r="D3" s="2125"/>
      <c r="E3" s="2125"/>
      <c r="F3" s="444">
        <f>C3+1</f>
        <v>2020</v>
      </c>
      <c r="G3" s="444">
        <f>F3+1</f>
        <v>2021</v>
      </c>
      <c r="H3" s="444">
        <f>G3+1</f>
        <v>2022</v>
      </c>
      <c r="I3" s="454">
        <f>H3+1</f>
        <v>2023</v>
      </c>
      <c r="J3" s="4"/>
      <c r="K3" s="2108" t="s">
        <v>51</v>
      </c>
      <c r="L3" s="2108"/>
      <c r="M3" s="4"/>
      <c r="N3" s="4"/>
      <c r="O3" s="4"/>
      <c r="P3" s="4"/>
      <c r="Q3" s="4"/>
    </row>
    <row r="4" spans="1:17" s="5" customFormat="1" ht="16.5" customHeight="1">
      <c r="A4" s="4"/>
      <c r="B4" s="2132" t="s">
        <v>170</v>
      </c>
      <c r="C4" s="2133"/>
      <c r="D4" s="2133"/>
      <c r="E4" s="2133"/>
      <c r="F4" s="2133"/>
      <c r="G4" s="2133"/>
      <c r="H4" s="2133"/>
      <c r="I4" s="2134"/>
      <c r="J4" s="4"/>
      <c r="K4" s="2108"/>
      <c r="L4" s="2108"/>
      <c r="M4" s="4"/>
      <c r="N4" s="4"/>
      <c r="O4" s="4"/>
      <c r="P4" s="4"/>
      <c r="Q4" s="4"/>
    </row>
    <row r="5" spans="1:17" s="5" customFormat="1" ht="15.75" customHeight="1">
      <c r="A5" s="4"/>
      <c r="B5" s="455" t="s">
        <v>145</v>
      </c>
      <c r="C5" s="13" t="s">
        <v>325</v>
      </c>
      <c r="D5" s="11" t="s">
        <v>154</v>
      </c>
      <c r="E5" s="12" t="s">
        <v>184</v>
      </c>
      <c r="F5" s="70" t="s">
        <v>183</v>
      </c>
      <c r="G5" s="70" t="s">
        <v>184</v>
      </c>
      <c r="H5" s="70" t="s">
        <v>183</v>
      </c>
      <c r="I5" s="456" t="s">
        <v>184</v>
      </c>
      <c r="J5" s="4"/>
      <c r="K5" s="2110" t="s">
        <v>53</v>
      </c>
      <c r="L5" s="2110"/>
      <c r="M5" s="4"/>
      <c r="N5" s="4"/>
      <c r="O5" s="4"/>
      <c r="P5" s="4"/>
      <c r="Q5" s="4"/>
    </row>
    <row r="6" spans="1:17" s="16" customFormat="1" ht="19.5" customHeight="1">
      <c r="A6" s="15"/>
      <c r="B6" s="457" t="s">
        <v>326</v>
      </c>
      <c r="C6" s="6">
        <v>1</v>
      </c>
      <c r="D6" s="7">
        <v>560000</v>
      </c>
      <c r="E6" s="62">
        <f t="shared" ref="E6:E11" si="0">+C6*D6</f>
        <v>560000</v>
      </c>
      <c r="F6" s="77">
        <v>0</v>
      </c>
      <c r="G6" s="77">
        <v>0</v>
      </c>
      <c r="H6" s="77">
        <v>0</v>
      </c>
      <c r="I6" s="458">
        <v>0</v>
      </c>
      <c r="J6" s="15"/>
      <c r="K6" s="2110"/>
      <c r="L6" s="2110"/>
      <c r="M6" s="15"/>
      <c r="N6" s="15"/>
      <c r="O6" s="15"/>
      <c r="P6" s="15"/>
      <c r="Q6" s="15"/>
    </row>
    <row r="7" spans="1:17" s="5" customFormat="1" ht="31.5">
      <c r="A7" s="4"/>
      <c r="B7" s="459" t="s">
        <v>327</v>
      </c>
      <c r="C7" s="141">
        <v>1</v>
      </c>
      <c r="D7" s="142">
        <v>375000</v>
      </c>
      <c r="E7" s="143">
        <f t="shared" si="0"/>
        <v>375000</v>
      </c>
      <c r="F7" s="78">
        <v>0</v>
      </c>
      <c r="G7" s="78"/>
      <c r="H7" s="78"/>
      <c r="I7" s="460"/>
      <c r="J7" s="4"/>
      <c r="K7" s="2110"/>
      <c r="L7" s="2110"/>
      <c r="M7" s="4"/>
      <c r="N7" s="4"/>
      <c r="O7" s="4"/>
      <c r="P7" s="4"/>
      <c r="Q7" s="4"/>
    </row>
    <row r="8" spans="1:17" s="5" customFormat="1">
      <c r="A8" s="4"/>
      <c r="B8" s="459" t="s">
        <v>328</v>
      </c>
      <c r="C8" s="6">
        <v>1</v>
      </c>
      <c r="D8" s="7">
        <v>1271900</v>
      </c>
      <c r="E8" s="62">
        <f t="shared" si="0"/>
        <v>1271900</v>
      </c>
      <c r="F8" s="77">
        <v>0</v>
      </c>
      <c r="G8" s="77">
        <v>0</v>
      </c>
      <c r="H8" s="77">
        <v>0</v>
      </c>
      <c r="I8" s="458">
        <v>0</v>
      </c>
      <c r="J8" s="4"/>
      <c r="K8" s="2110"/>
      <c r="L8" s="2110"/>
      <c r="M8" s="4"/>
      <c r="N8" s="4"/>
      <c r="O8" s="4"/>
      <c r="P8" s="4"/>
      <c r="Q8" s="4"/>
    </row>
    <row r="9" spans="1:17" s="5" customFormat="1">
      <c r="A9" s="4"/>
      <c r="B9" s="459"/>
      <c r="C9" s="6"/>
      <c r="D9" s="7"/>
      <c r="E9" s="62">
        <f t="shared" si="0"/>
        <v>0</v>
      </c>
      <c r="F9" s="78">
        <v>0</v>
      </c>
      <c r="G9" s="78"/>
      <c r="H9" s="78"/>
      <c r="I9" s="460"/>
      <c r="J9" s="4"/>
      <c r="K9" s="2110"/>
      <c r="L9" s="2110"/>
      <c r="M9" s="4"/>
      <c r="N9" s="4"/>
      <c r="O9" s="4"/>
      <c r="P9" s="4"/>
      <c r="Q9" s="4"/>
    </row>
    <row r="10" spans="1:17" s="5" customFormat="1" ht="19.5" customHeight="1">
      <c r="A10" s="4"/>
      <c r="B10" s="457"/>
      <c r="C10" s="6"/>
      <c r="D10" s="7"/>
      <c r="E10" s="62">
        <f t="shared" si="0"/>
        <v>0</v>
      </c>
      <c r="F10" s="77">
        <v>0</v>
      </c>
      <c r="G10" s="77">
        <v>0</v>
      </c>
      <c r="H10" s="77">
        <v>0</v>
      </c>
      <c r="I10" s="458">
        <v>0</v>
      </c>
      <c r="J10" s="4"/>
      <c r="K10" s="2113" t="s">
        <v>194</v>
      </c>
      <c r="L10" s="2114"/>
      <c r="M10" s="4"/>
      <c r="N10" s="4"/>
      <c r="O10" s="4"/>
      <c r="P10" s="4"/>
      <c r="Q10" s="4"/>
    </row>
    <row r="11" spans="1:17" s="5" customFormat="1" ht="15.75" customHeight="1">
      <c r="A11" s="4"/>
      <c r="B11" s="459"/>
      <c r="C11" s="6"/>
      <c r="D11" s="7"/>
      <c r="E11" s="62">
        <f t="shared" si="0"/>
        <v>0</v>
      </c>
      <c r="F11" s="78">
        <v>0</v>
      </c>
      <c r="G11" s="78"/>
      <c r="H11" s="78"/>
      <c r="I11" s="460"/>
      <c r="J11" s="4"/>
      <c r="K11" s="2115"/>
      <c r="L11" s="2116"/>
      <c r="M11" s="4"/>
      <c r="N11" s="4"/>
      <c r="O11" s="4"/>
      <c r="P11" s="4"/>
      <c r="Q11" s="4"/>
    </row>
    <row r="12" spans="1:17" s="5" customFormat="1">
      <c r="A12" s="4"/>
      <c r="B12" s="457"/>
      <c r="C12" s="6"/>
      <c r="D12" s="7"/>
      <c r="E12" s="62"/>
      <c r="F12" s="77">
        <v>0</v>
      </c>
      <c r="G12" s="77">
        <v>0</v>
      </c>
      <c r="H12" s="77">
        <v>0</v>
      </c>
      <c r="I12" s="458">
        <v>0</v>
      </c>
      <c r="J12" s="4"/>
      <c r="K12" s="2115"/>
      <c r="L12" s="2116"/>
      <c r="M12" s="4"/>
      <c r="N12" s="4"/>
      <c r="O12" s="4"/>
      <c r="P12" s="4"/>
      <c r="Q12" s="4"/>
    </row>
    <row r="13" spans="1:17" s="5" customFormat="1" ht="22.5" customHeight="1">
      <c r="A13" s="4"/>
      <c r="B13" s="459"/>
      <c r="C13" s="6"/>
      <c r="D13" s="7"/>
      <c r="E13" s="62"/>
      <c r="F13" s="83">
        <v>0</v>
      </c>
      <c r="G13" s="83"/>
      <c r="H13" s="83"/>
      <c r="I13" s="461"/>
      <c r="J13" s="4"/>
      <c r="K13" s="2115"/>
      <c r="L13" s="2116"/>
      <c r="M13" s="4"/>
      <c r="N13" s="4"/>
      <c r="O13" s="4"/>
      <c r="P13" s="4"/>
      <c r="Q13" s="4"/>
    </row>
    <row r="14" spans="1:17" s="5" customFormat="1" ht="16.5" thickBot="1">
      <c r="A14" s="4"/>
      <c r="B14" s="462" t="s">
        <v>70</v>
      </c>
      <c r="C14" s="90"/>
      <c r="D14" s="91"/>
      <c r="E14" s="92">
        <f>SUM(E6:E13)</f>
        <v>2206900</v>
      </c>
      <c r="F14" s="8">
        <f>SUM(F6:F13)</f>
        <v>0</v>
      </c>
      <c r="G14" s="8">
        <f>SUM(G6:G13)</f>
        <v>0</v>
      </c>
      <c r="H14" s="8">
        <f>SUM(H6:H13)</f>
        <v>0</v>
      </c>
      <c r="I14" s="463">
        <f>SUM(I6:I13)</f>
        <v>0</v>
      </c>
      <c r="J14" s="4"/>
      <c r="K14" s="2115"/>
      <c r="L14" s="2116"/>
      <c r="M14" s="4"/>
      <c r="N14" s="4"/>
      <c r="O14" s="4"/>
      <c r="P14" s="4"/>
      <c r="Q14" s="4"/>
    </row>
    <row r="15" spans="1:17" s="5" customFormat="1">
      <c r="A15" s="4"/>
      <c r="B15" s="2135" t="s">
        <v>171</v>
      </c>
      <c r="C15" s="2136"/>
      <c r="D15" s="2136"/>
      <c r="E15" s="2136"/>
      <c r="F15" s="2136"/>
      <c r="G15" s="2136"/>
      <c r="H15" s="2136"/>
      <c r="I15" s="2137"/>
      <c r="J15" s="4"/>
      <c r="K15" s="2115"/>
      <c r="L15" s="2116"/>
      <c r="M15" s="4"/>
      <c r="N15" s="4"/>
      <c r="O15" s="4"/>
      <c r="P15" s="4"/>
      <c r="Q15" s="4"/>
    </row>
    <row r="16" spans="1:17" s="5" customFormat="1" ht="33" customHeight="1">
      <c r="A16" s="4"/>
      <c r="B16" s="464" t="s">
        <v>69</v>
      </c>
      <c r="C16" s="6" t="s">
        <v>149</v>
      </c>
      <c r="D16" s="7" t="s">
        <v>154</v>
      </c>
      <c r="E16" s="62" t="s">
        <v>183</v>
      </c>
      <c r="F16" s="70" t="s">
        <v>184</v>
      </c>
      <c r="G16" s="70" t="s">
        <v>184</v>
      </c>
      <c r="H16" s="70" t="s">
        <v>184</v>
      </c>
      <c r="I16" s="456" t="s">
        <v>184</v>
      </c>
      <c r="J16" s="4"/>
      <c r="K16" s="2115"/>
      <c r="L16" s="2116"/>
      <c r="M16" s="4"/>
      <c r="N16" s="4"/>
      <c r="O16" s="4"/>
      <c r="P16" s="4"/>
      <c r="Q16" s="4"/>
    </row>
    <row r="17" spans="1:17" s="5" customFormat="1">
      <c r="A17" s="4"/>
      <c r="B17" s="465"/>
      <c r="C17" s="98"/>
      <c r="D17" s="94"/>
      <c r="E17" s="95">
        <v>0</v>
      </c>
      <c r="F17" s="77"/>
      <c r="G17" s="77">
        <v>0</v>
      </c>
      <c r="H17" s="77">
        <v>0</v>
      </c>
      <c r="I17" s="458">
        <v>0</v>
      </c>
      <c r="J17" s="4"/>
      <c r="K17" s="2115"/>
      <c r="L17" s="2116"/>
      <c r="M17" s="4"/>
      <c r="N17" s="4"/>
      <c r="O17" s="4"/>
      <c r="P17" s="4"/>
      <c r="Q17" s="4"/>
    </row>
    <row r="18" spans="1:17" s="5" customFormat="1">
      <c r="A18" s="4"/>
      <c r="B18" s="465"/>
      <c r="C18" s="93"/>
      <c r="D18" s="94"/>
      <c r="E18" s="95">
        <f t="shared" ref="E18:E22" si="1">C18*D18</f>
        <v>0</v>
      </c>
      <c r="F18" s="77">
        <v>0</v>
      </c>
      <c r="G18" s="77">
        <v>0</v>
      </c>
      <c r="H18" s="77">
        <v>0</v>
      </c>
      <c r="I18" s="458">
        <v>0</v>
      </c>
      <c r="J18" s="4"/>
      <c r="K18" s="2108" t="s">
        <v>177</v>
      </c>
      <c r="L18" s="2108"/>
      <c r="M18" s="4"/>
      <c r="N18" s="4"/>
      <c r="O18" s="4"/>
      <c r="P18" s="4"/>
      <c r="Q18" s="4"/>
    </row>
    <row r="19" spans="1:17" s="5" customFormat="1">
      <c r="A19" s="4"/>
      <c r="B19" s="465"/>
      <c r="C19" s="98"/>
      <c r="D19" s="94"/>
      <c r="E19" s="95">
        <f t="shared" si="1"/>
        <v>0</v>
      </c>
      <c r="F19" s="77">
        <v>0</v>
      </c>
      <c r="G19" s="77">
        <v>0</v>
      </c>
      <c r="H19" s="77">
        <v>0</v>
      </c>
      <c r="I19" s="458">
        <v>0</v>
      </c>
      <c r="J19" s="4"/>
      <c r="K19" s="2108"/>
      <c r="L19" s="2108"/>
      <c r="M19" s="4"/>
      <c r="N19" s="4"/>
      <c r="O19" s="4"/>
      <c r="P19" s="4"/>
      <c r="Q19" s="4"/>
    </row>
    <row r="20" spans="1:17" s="5" customFormat="1" ht="18" customHeight="1">
      <c r="A20" s="4"/>
      <c r="B20" s="465"/>
      <c r="C20" s="98"/>
      <c r="D20" s="94"/>
      <c r="E20" s="95">
        <f t="shared" si="1"/>
        <v>0</v>
      </c>
      <c r="F20" s="77">
        <v>0</v>
      </c>
      <c r="G20" s="77">
        <v>0</v>
      </c>
      <c r="H20" s="77">
        <v>0</v>
      </c>
      <c r="I20" s="458">
        <v>0</v>
      </c>
      <c r="J20" s="4"/>
      <c r="K20" s="2108"/>
      <c r="L20" s="2108"/>
      <c r="M20" s="4"/>
      <c r="N20" s="4"/>
      <c r="O20" s="4"/>
      <c r="P20" s="4"/>
      <c r="Q20" s="4"/>
    </row>
    <row r="21" spans="1:17" s="5" customFormat="1" ht="18" customHeight="1">
      <c r="A21" s="4"/>
      <c r="B21" s="465"/>
      <c r="C21" s="93"/>
      <c r="D21" s="94"/>
      <c r="E21" s="95">
        <f t="shared" si="1"/>
        <v>0</v>
      </c>
      <c r="F21" s="77">
        <v>0</v>
      </c>
      <c r="G21" s="77">
        <v>0</v>
      </c>
      <c r="H21" s="77">
        <v>0</v>
      </c>
      <c r="I21" s="458">
        <v>0</v>
      </c>
      <c r="J21" s="4"/>
      <c r="K21" s="2108" t="s">
        <v>52</v>
      </c>
      <c r="L21" s="2108"/>
      <c r="M21" s="4"/>
      <c r="N21" s="4"/>
      <c r="O21" s="4"/>
      <c r="P21" s="4"/>
      <c r="Q21" s="4"/>
    </row>
    <row r="22" spans="1:17" s="5" customFormat="1" ht="18" customHeight="1">
      <c r="A22" s="4"/>
      <c r="B22" s="466"/>
      <c r="C22" s="93"/>
      <c r="D22" s="94"/>
      <c r="E22" s="95">
        <f t="shared" si="1"/>
        <v>0</v>
      </c>
      <c r="F22" s="77">
        <v>0</v>
      </c>
      <c r="G22" s="77">
        <v>0</v>
      </c>
      <c r="H22" s="77">
        <v>0</v>
      </c>
      <c r="I22" s="458">
        <v>0</v>
      </c>
      <c r="J22" s="4"/>
      <c r="K22" s="2108"/>
      <c r="L22" s="2108"/>
      <c r="M22" s="4"/>
      <c r="N22" s="4"/>
      <c r="O22" s="4"/>
      <c r="P22" s="4"/>
      <c r="Q22" s="4"/>
    </row>
    <row r="23" spans="1:17" s="5" customFormat="1" ht="19.5" customHeight="1" thickBot="1">
      <c r="A23" s="4"/>
      <c r="B23" s="462" t="s">
        <v>70</v>
      </c>
      <c r="C23" s="96"/>
      <c r="D23" s="97"/>
      <c r="E23" s="92">
        <f>SUM(E17:E22)</f>
        <v>0</v>
      </c>
      <c r="F23" s="69">
        <f>SUM(F17:F22)</f>
        <v>0</v>
      </c>
      <c r="G23" s="69">
        <f>SUM(G17:G22)</f>
        <v>0</v>
      </c>
      <c r="H23" s="69">
        <f>SUM(H17:H22)</f>
        <v>0</v>
      </c>
      <c r="I23" s="467">
        <f>SUM(I17:I22)</f>
        <v>0</v>
      </c>
      <c r="J23" s="4"/>
      <c r="K23" s="2108" t="s">
        <v>178</v>
      </c>
      <c r="L23" s="2108"/>
      <c r="M23" s="4"/>
      <c r="N23" s="4"/>
      <c r="O23" s="4"/>
      <c r="P23" s="4"/>
      <c r="Q23" s="4"/>
    </row>
    <row r="24" spans="1:17" s="5" customFormat="1" ht="19.5" customHeight="1">
      <c r="A24" s="4"/>
      <c r="B24" s="2138" t="s">
        <v>172</v>
      </c>
      <c r="C24" s="2139"/>
      <c r="D24" s="2139"/>
      <c r="E24" s="2139"/>
      <c r="F24" s="2139"/>
      <c r="G24" s="2139"/>
      <c r="H24" s="2139"/>
      <c r="I24" s="2140"/>
      <c r="J24" s="4"/>
      <c r="K24" s="2108"/>
      <c r="L24" s="2108"/>
      <c r="M24" s="4"/>
      <c r="N24" s="4"/>
      <c r="O24" s="4"/>
      <c r="P24" s="4"/>
      <c r="Q24" s="4"/>
    </row>
    <row r="25" spans="1:17" s="5" customFormat="1" ht="19.5" customHeight="1">
      <c r="A25" s="4"/>
      <c r="B25" s="468" t="s">
        <v>151</v>
      </c>
      <c r="C25" s="59" t="s">
        <v>86</v>
      </c>
      <c r="D25" s="60" t="s">
        <v>86</v>
      </c>
      <c r="E25" s="61" t="s">
        <v>182</v>
      </c>
      <c r="F25" s="70" t="s">
        <v>183</v>
      </c>
      <c r="G25" s="70" t="s">
        <v>183</v>
      </c>
      <c r="H25" s="70" t="s">
        <v>183</v>
      </c>
      <c r="I25" s="456" t="s">
        <v>183</v>
      </c>
      <c r="J25" s="4"/>
      <c r="K25" s="4"/>
      <c r="L25" s="4"/>
      <c r="M25" s="4"/>
      <c r="N25" s="4"/>
      <c r="O25" s="4"/>
      <c r="P25" s="4"/>
      <c r="Q25" s="4"/>
    </row>
    <row r="26" spans="1:17" s="5" customFormat="1" ht="33.75" customHeight="1">
      <c r="A26" s="4"/>
      <c r="B26" s="469" t="s">
        <v>165</v>
      </c>
      <c r="C26" s="71" t="s">
        <v>86</v>
      </c>
      <c r="D26" s="64" t="s">
        <v>86</v>
      </c>
      <c r="E26" s="65">
        <v>0</v>
      </c>
      <c r="F26" s="79">
        <v>0</v>
      </c>
      <c r="G26" s="79">
        <v>0</v>
      </c>
      <c r="H26" s="79">
        <v>0</v>
      </c>
      <c r="I26" s="470">
        <v>0</v>
      </c>
      <c r="J26" s="4"/>
      <c r="K26" s="2109" t="s">
        <v>77</v>
      </c>
      <c r="L26" s="2109"/>
      <c r="M26" s="4"/>
      <c r="N26" s="4"/>
      <c r="O26" s="4"/>
      <c r="P26" s="4"/>
      <c r="Q26" s="4"/>
    </row>
    <row r="27" spans="1:17" s="5" customFormat="1" ht="19.5" customHeight="1">
      <c r="A27" s="4"/>
      <c r="B27" s="469" t="s">
        <v>166</v>
      </c>
      <c r="C27" s="71" t="s">
        <v>86</v>
      </c>
      <c r="D27" s="64" t="s">
        <v>86</v>
      </c>
      <c r="E27" s="65">
        <v>0</v>
      </c>
      <c r="F27" s="79">
        <v>0</v>
      </c>
      <c r="G27" s="79">
        <v>0</v>
      </c>
      <c r="H27" s="79">
        <v>0</v>
      </c>
      <c r="I27" s="470">
        <v>0</v>
      </c>
      <c r="J27" s="4"/>
      <c r="K27" s="56"/>
      <c r="L27" s="4"/>
      <c r="M27" s="4"/>
      <c r="N27" s="4"/>
      <c r="O27" s="4"/>
      <c r="P27" s="4"/>
      <c r="Q27" s="4"/>
    </row>
    <row r="28" spans="1:17" s="5" customFormat="1" ht="36.75" customHeight="1">
      <c r="A28" s="4"/>
      <c r="B28" s="469" t="s">
        <v>167</v>
      </c>
      <c r="C28" s="71" t="s">
        <v>86</v>
      </c>
      <c r="D28" s="64" t="s">
        <v>86</v>
      </c>
      <c r="E28" s="65">
        <v>0</v>
      </c>
      <c r="F28" s="79">
        <v>0</v>
      </c>
      <c r="G28" s="79">
        <v>0</v>
      </c>
      <c r="H28" s="79">
        <v>0</v>
      </c>
      <c r="I28" s="470">
        <v>0</v>
      </c>
      <c r="J28" s="4"/>
      <c r="K28" s="4"/>
      <c r="L28" s="4"/>
      <c r="M28" s="4"/>
      <c r="N28" s="4"/>
      <c r="O28" s="4"/>
      <c r="P28" s="4"/>
      <c r="Q28" s="4"/>
    </row>
    <row r="29" spans="1:17" s="5" customFormat="1" ht="22.5" customHeight="1">
      <c r="A29" s="4"/>
      <c r="B29" s="469" t="s">
        <v>164</v>
      </c>
      <c r="C29" s="71" t="s">
        <v>86</v>
      </c>
      <c r="D29" s="64" t="s">
        <v>86</v>
      </c>
      <c r="E29" s="65">
        <v>0</v>
      </c>
      <c r="F29" s="79">
        <v>0</v>
      </c>
      <c r="G29" s="79">
        <v>0</v>
      </c>
      <c r="H29" s="79">
        <v>0</v>
      </c>
      <c r="I29" s="470">
        <v>0</v>
      </c>
      <c r="J29" s="4"/>
      <c r="K29" s="4"/>
      <c r="L29" s="4"/>
      <c r="M29" s="4"/>
      <c r="N29" s="4"/>
      <c r="O29" s="4"/>
      <c r="P29" s="4"/>
      <c r="Q29" s="4"/>
    </row>
    <row r="30" spans="1:17" s="5" customFormat="1" ht="18" customHeight="1">
      <c r="A30" s="4"/>
      <c r="B30" s="471" t="s">
        <v>71</v>
      </c>
      <c r="C30" s="71" t="s">
        <v>86</v>
      </c>
      <c r="D30" s="64" t="s">
        <v>86</v>
      </c>
      <c r="E30" s="65">
        <v>0</v>
      </c>
      <c r="F30" s="79">
        <v>0</v>
      </c>
      <c r="G30" s="79">
        <v>0</v>
      </c>
      <c r="H30" s="79">
        <v>0</v>
      </c>
      <c r="I30" s="470">
        <v>0</v>
      </c>
      <c r="J30" s="4"/>
      <c r="K30" s="4"/>
      <c r="L30" s="4"/>
      <c r="M30" s="4"/>
      <c r="N30" s="4"/>
      <c r="O30" s="4"/>
      <c r="P30" s="4"/>
      <c r="Q30" s="4"/>
    </row>
    <row r="31" spans="1:17" s="5" customFormat="1" ht="18" customHeight="1" thickBot="1">
      <c r="A31" s="4"/>
      <c r="B31" s="472" t="s">
        <v>70</v>
      </c>
      <c r="C31" s="72" t="s">
        <v>86</v>
      </c>
      <c r="D31" s="73" t="s">
        <v>86</v>
      </c>
      <c r="E31" s="57">
        <f>SUM(E26:E30)</f>
        <v>0</v>
      </c>
      <c r="F31" s="74">
        <f>SUM(F26:F30)</f>
        <v>0</v>
      </c>
      <c r="G31" s="74">
        <f>SUM(G26:G30)</f>
        <v>0</v>
      </c>
      <c r="H31" s="74">
        <f>SUM(H26:H30)</f>
        <v>0</v>
      </c>
      <c r="I31" s="473">
        <f>SUM(I26:I30)</f>
        <v>0</v>
      </c>
      <c r="J31" s="4"/>
      <c r="K31" s="4"/>
      <c r="L31" s="4"/>
      <c r="M31" s="4"/>
      <c r="N31" s="4"/>
      <c r="O31" s="4"/>
      <c r="P31" s="4"/>
      <c r="Q31" s="4"/>
    </row>
    <row r="32" spans="1:17" s="5" customFormat="1" ht="18" customHeight="1" thickBot="1">
      <c r="A32" s="4"/>
      <c r="B32" s="474" t="s">
        <v>72</v>
      </c>
      <c r="C32" s="475" t="s">
        <v>86</v>
      </c>
      <c r="D32" s="476" t="s">
        <v>86</v>
      </c>
      <c r="E32" s="477">
        <f>E14+E23+E31</f>
        <v>2206900</v>
      </c>
      <c r="F32" s="478">
        <f>F31+F23+F14</f>
        <v>0</v>
      </c>
      <c r="G32" s="478">
        <f>G31+G23+G14</f>
        <v>0</v>
      </c>
      <c r="H32" s="478">
        <f>H31+H23+H14</f>
        <v>0</v>
      </c>
      <c r="I32" s="479">
        <f>I31+I23+I14</f>
        <v>0</v>
      </c>
      <c r="J32" s="4"/>
      <c r="K32" s="4"/>
      <c r="L32" s="4"/>
      <c r="M32" s="4"/>
      <c r="N32" s="4"/>
      <c r="O32" s="4"/>
      <c r="P32" s="4"/>
      <c r="Q32" s="4"/>
    </row>
    <row r="33" spans="1:17" s="5" customFormat="1" ht="18.75" customHeight="1" thickTop="1">
      <c r="A33" s="4"/>
      <c r="B33" s="1"/>
      <c r="C33" s="1"/>
      <c r="D33" s="1"/>
      <c r="E33" s="75"/>
      <c r="F33" s="1"/>
      <c r="G33" s="1"/>
      <c r="H33" s="1"/>
      <c r="I33" s="1"/>
      <c r="J33" s="4"/>
      <c r="K33" s="4"/>
      <c r="L33" s="4"/>
      <c r="M33" s="4"/>
      <c r="N33" s="4"/>
      <c r="O33" s="4"/>
      <c r="P33" s="4"/>
      <c r="Q33" s="4"/>
    </row>
    <row r="34" spans="1:17" s="5" customFormat="1" ht="21" customHeight="1" thickBot="1">
      <c r="A34" s="4"/>
      <c r="B34" s="2141" t="s">
        <v>76</v>
      </c>
      <c r="C34" s="2141"/>
      <c r="D34" s="2141"/>
      <c r="E34" s="2141"/>
      <c r="F34" s="2141"/>
      <c r="G34" s="2141"/>
      <c r="H34" s="2141"/>
      <c r="I34" s="1"/>
      <c r="J34" s="4"/>
      <c r="K34" s="4"/>
      <c r="L34" s="4"/>
      <c r="M34" s="4"/>
      <c r="N34" s="4"/>
      <c r="O34" s="4"/>
      <c r="P34" s="4"/>
      <c r="Q34" s="4"/>
    </row>
    <row r="35" spans="1:17" s="5" customFormat="1" ht="15.75" customHeight="1" thickTop="1" thickBot="1">
      <c r="A35" s="4"/>
      <c r="B35" s="480" t="s">
        <v>73</v>
      </c>
      <c r="C35" s="481"/>
      <c r="D35" s="481"/>
      <c r="E35" s="481"/>
      <c r="F35" s="481"/>
      <c r="G35" s="481"/>
      <c r="H35" s="482"/>
      <c r="I35" s="1"/>
      <c r="J35" s="4"/>
      <c r="K35" s="55" t="s">
        <v>62</v>
      </c>
      <c r="L35" s="58"/>
      <c r="M35" s="4"/>
      <c r="N35" s="4"/>
      <c r="O35" s="4"/>
      <c r="P35" s="4"/>
      <c r="Q35" s="4"/>
    </row>
    <row r="36" spans="1:17" s="5" customFormat="1" ht="15.75" customHeight="1">
      <c r="A36" s="4"/>
      <c r="B36" s="2119" t="s">
        <v>74</v>
      </c>
      <c r="C36" s="2120"/>
      <c r="D36" s="82" t="s">
        <v>185</v>
      </c>
      <c r="E36" s="100"/>
      <c r="F36" s="100"/>
      <c r="G36" s="100"/>
      <c r="H36" s="483"/>
      <c r="I36" s="1"/>
      <c r="J36" s="4"/>
      <c r="K36" s="19" t="s">
        <v>55</v>
      </c>
      <c r="L36" s="4"/>
      <c r="M36" s="4"/>
      <c r="N36" s="4"/>
      <c r="O36" s="4"/>
      <c r="P36" s="4"/>
      <c r="Q36" s="4"/>
    </row>
    <row r="37" spans="1:17" s="5" customFormat="1" ht="19.5" customHeight="1">
      <c r="A37" s="4"/>
      <c r="B37" s="2121"/>
      <c r="C37" s="2122"/>
      <c r="D37" s="76">
        <v>2018</v>
      </c>
      <c r="E37" s="76">
        <f>D37+1</f>
        <v>2019</v>
      </c>
      <c r="F37" s="76">
        <f>E37+1</f>
        <v>2020</v>
      </c>
      <c r="G37" s="76">
        <f>F37+1</f>
        <v>2021</v>
      </c>
      <c r="H37" s="484">
        <f>G37+1</f>
        <v>2022</v>
      </c>
      <c r="I37" s="1"/>
      <c r="J37" s="4"/>
      <c r="K37" s="2108" t="s">
        <v>192</v>
      </c>
      <c r="L37" s="4"/>
      <c r="M37" s="4"/>
      <c r="N37" s="4"/>
      <c r="O37" s="4"/>
      <c r="P37" s="4"/>
      <c r="Q37" s="4"/>
    </row>
    <row r="38" spans="1:17" s="5" customFormat="1" ht="20.25" customHeight="1">
      <c r="A38" s="4"/>
      <c r="B38" s="2123" t="s">
        <v>168</v>
      </c>
      <c r="C38" s="2124"/>
      <c r="D38" s="101"/>
      <c r="E38" s="101">
        <v>0</v>
      </c>
      <c r="F38" s="101">
        <v>0</v>
      </c>
      <c r="G38" s="101">
        <v>0</v>
      </c>
      <c r="H38" s="485">
        <v>0</v>
      </c>
      <c r="I38" s="1"/>
      <c r="J38" s="63"/>
      <c r="K38" s="2108"/>
      <c r="L38" s="4"/>
      <c r="M38" s="4"/>
      <c r="N38" s="4"/>
      <c r="O38" s="4"/>
      <c r="P38" s="4"/>
      <c r="Q38" s="4"/>
    </row>
    <row r="39" spans="1:17" s="5" customFormat="1" ht="17.25" customHeight="1">
      <c r="A39" s="4"/>
      <c r="B39" s="2123" t="s">
        <v>159</v>
      </c>
      <c r="C39" s="2124"/>
      <c r="D39" s="102">
        <f>D43</f>
        <v>2206900</v>
      </c>
      <c r="E39" s="102">
        <f>SUM(E40:E45)</f>
        <v>0</v>
      </c>
      <c r="F39" s="102">
        <f>SUM(F40:F45)</f>
        <v>0</v>
      </c>
      <c r="G39" s="102">
        <f>SUM(G40:G45)</f>
        <v>0</v>
      </c>
      <c r="H39" s="486">
        <f>SUM(H40:H45)</f>
        <v>0</v>
      </c>
      <c r="I39" s="1"/>
      <c r="J39" s="4"/>
      <c r="K39" s="2108"/>
      <c r="L39" s="4"/>
      <c r="M39" s="4"/>
      <c r="N39" s="4"/>
      <c r="O39" s="4"/>
      <c r="P39" s="4"/>
      <c r="Q39" s="4"/>
    </row>
    <row r="40" spans="1:17" s="5" customFormat="1">
      <c r="A40" s="4"/>
      <c r="B40" s="2123" t="s">
        <v>160</v>
      </c>
      <c r="C40" s="2124"/>
      <c r="D40" s="103"/>
      <c r="E40" s="103"/>
      <c r="F40" s="103"/>
      <c r="G40" s="103"/>
      <c r="H40" s="487"/>
      <c r="I40" s="1"/>
      <c r="J40" s="4"/>
      <c r="K40" s="2108"/>
      <c r="L40" s="4"/>
      <c r="M40" s="4"/>
      <c r="N40" s="4"/>
      <c r="O40" s="4"/>
      <c r="P40" s="4"/>
      <c r="Q40" s="4"/>
    </row>
    <row r="41" spans="1:17" s="5" customFormat="1" ht="15.75" customHeight="1">
      <c r="A41" s="4"/>
      <c r="B41" s="2117" t="s">
        <v>161</v>
      </c>
      <c r="C41" s="2118"/>
      <c r="D41" s="80">
        <v>0</v>
      </c>
      <c r="E41" s="80">
        <v>0</v>
      </c>
      <c r="F41" s="80">
        <v>0</v>
      </c>
      <c r="G41" s="80">
        <v>0</v>
      </c>
      <c r="H41" s="488">
        <v>0</v>
      </c>
      <c r="I41" s="1"/>
      <c r="J41" s="4"/>
      <c r="K41" s="2110" t="s">
        <v>179</v>
      </c>
      <c r="L41" s="4"/>
      <c r="M41" s="4"/>
      <c r="N41" s="4"/>
      <c r="O41" s="4"/>
      <c r="P41" s="4"/>
      <c r="Q41" s="4"/>
    </row>
    <row r="42" spans="1:17" s="5" customFormat="1" ht="31.5" customHeight="1">
      <c r="A42" s="4"/>
      <c r="B42" s="2111" t="s">
        <v>162</v>
      </c>
      <c r="C42" s="2112"/>
      <c r="D42" s="80">
        <v>0</v>
      </c>
      <c r="E42" s="80">
        <v>0</v>
      </c>
      <c r="F42" s="80">
        <v>0</v>
      </c>
      <c r="G42" s="80">
        <v>0</v>
      </c>
      <c r="H42" s="488">
        <v>0</v>
      </c>
      <c r="I42" s="1"/>
      <c r="J42" s="4"/>
      <c r="K42" s="2110"/>
      <c r="L42" s="1"/>
      <c r="M42" s="4"/>
      <c r="N42" s="4"/>
      <c r="O42" s="4"/>
      <c r="P42" s="4"/>
      <c r="Q42" s="4"/>
    </row>
    <row r="43" spans="1:17" s="5" customFormat="1" ht="36.75" customHeight="1">
      <c r="A43" s="4"/>
      <c r="B43" s="2111" t="s">
        <v>208</v>
      </c>
      <c r="C43" s="2112"/>
      <c r="D43" s="104">
        <f>+E14</f>
        <v>2206900</v>
      </c>
      <c r="E43" s="80">
        <v>0</v>
      </c>
      <c r="F43" s="80">
        <v>0</v>
      </c>
      <c r="G43" s="80">
        <v>0</v>
      </c>
      <c r="H43" s="488">
        <v>0</v>
      </c>
      <c r="I43" s="1"/>
      <c r="J43" s="4"/>
      <c r="K43" s="18"/>
      <c r="L43" s="1"/>
      <c r="M43" s="4"/>
      <c r="N43" s="4"/>
      <c r="O43" s="4"/>
      <c r="P43" s="4"/>
      <c r="Q43" s="4"/>
    </row>
    <row r="44" spans="1:17" s="5" customFormat="1" ht="33" customHeight="1">
      <c r="A44" s="4"/>
      <c r="B44" s="2111" t="s">
        <v>175</v>
      </c>
      <c r="C44" s="2112"/>
      <c r="D44" s="105">
        <v>0</v>
      </c>
      <c r="E44" s="105">
        <v>0</v>
      </c>
      <c r="F44" s="105">
        <v>0</v>
      </c>
      <c r="G44" s="105">
        <v>0</v>
      </c>
      <c r="H44" s="489">
        <v>0</v>
      </c>
      <c r="I44" s="68"/>
      <c r="J44" s="4"/>
      <c r="K44" s="4"/>
      <c r="L44" s="1"/>
      <c r="M44" s="4"/>
      <c r="N44" s="4"/>
      <c r="O44" s="4"/>
      <c r="P44" s="4"/>
      <c r="Q44" s="4"/>
    </row>
    <row r="45" spans="1:17" s="5" customFormat="1" ht="33" customHeight="1" thickBot="1">
      <c r="A45" s="4"/>
      <c r="B45" s="2142" t="s">
        <v>33</v>
      </c>
      <c r="C45" s="2143"/>
      <c r="D45" s="81"/>
      <c r="E45" s="81">
        <v>0</v>
      </c>
      <c r="F45" s="81">
        <v>0</v>
      </c>
      <c r="G45" s="81">
        <v>0</v>
      </c>
      <c r="H45" s="490">
        <v>0</v>
      </c>
      <c r="I45" s="1"/>
      <c r="J45" s="4"/>
      <c r="K45" s="84" t="s">
        <v>77</v>
      </c>
      <c r="L45" s="1"/>
      <c r="M45" s="4"/>
      <c r="N45" s="4"/>
      <c r="O45" s="4"/>
      <c r="P45" s="4"/>
      <c r="Q45" s="4"/>
    </row>
    <row r="46" spans="1:17" s="5" customFormat="1" ht="33.75" customHeight="1" thickBot="1">
      <c r="A46" s="4"/>
      <c r="B46" s="2126" t="s">
        <v>163</v>
      </c>
      <c r="C46" s="2127"/>
      <c r="D46" s="491">
        <f>D38+D39</f>
        <v>2206900</v>
      </c>
      <c r="E46" s="491">
        <f>E38+E39</f>
        <v>0</v>
      </c>
      <c r="F46" s="491">
        <f>F38+F39</f>
        <v>0</v>
      </c>
      <c r="G46" s="491">
        <f>G38+G39</f>
        <v>0</v>
      </c>
      <c r="H46" s="492">
        <f>H38+H39</f>
        <v>0</v>
      </c>
      <c r="I46" s="1"/>
      <c r="J46" s="4"/>
      <c r="K46" s="4"/>
      <c r="L46" s="1"/>
      <c r="M46" s="58"/>
      <c r="N46" s="58"/>
      <c r="O46" s="4"/>
      <c r="P46" s="4"/>
      <c r="Q46" s="4"/>
    </row>
    <row r="47" spans="1:17" s="5" customFormat="1" ht="34.5" customHeight="1" thickTop="1">
      <c r="A47" s="4"/>
      <c r="B47" s="1"/>
      <c r="C47" s="1"/>
      <c r="D47" s="1"/>
      <c r="E47" s="1"/>
      <c r="F47" s="1"/>
      <c r="G47" s="1"/>
      <c r="H47" s="1"/>
      <c r="I47" s="1"/>
      <c r="J47" s="4"/>
      <c r="K47" s="4"/>
      <c r="L47" s="1"/>
      <c r="M47" s="4"/>
      <c r="N47" s="4"/>
      <c r="O47" s="4"/>
      <c r="P47" s="4"/>
      <c r="Q47" s="4"/>
    </row>
    <row r="48" spans="1:17" s="5" customFormat="1">
      <c r="A48" s="4"/>
      <c r="B48" s="1"/>
      <c r="C48" s="1"/>
      <c r="D48" s="1"/>
      <c r="E48" s="1"/>
      <c r="F48" s="1"/>
      <c r="G48" s="1"/>
      <c r="H48" s="1"/>
      <c r="I48" s="1"/>
      <c r="J48" s="4"/>
      <c r="K48" s="4"/>
      <c r="L48" s="1"/>
      <c r="M48" s="4"/>
      <c r="N48" s="4"/>
      <c r="O48" s="4"/>
      <c r="P48" s="4"/>
      <c r="Q48" s="4"/>
    </row>
    <row r="49" spans="1:17" s="5" customFormat="1">
      <c r="A49" s="4"/>
      <c r="B49" s="1"/>
      <c r="C49" s="1"/>
      <c r="D49" s="1"/>
      <c r="E49" s="1"/>
      <c r="F49" s="1"/>
      <c r="G49" s="1"/>
      <c r="H49" s="1"/>
      <c r="I49" s="1"/>
      <c r="J49" s="4"/>
      <c r="K49" s="4"/>
      <c r="L49" s="1"/>
      <c r="M49" s="4"/>
      <c r="N49" s="4"/>
      <c r="O49" s="4"/>
      <c r="P49" s="4"/>
      <c r="Q49" s="4"/>
    </row>
    <row r="51" spans="1:17" ht="18" customHeight="1"/>
    <row r="52" spans="1:17" ht="15.75" customHeight="1"/>
    <row r="53" spans="1:17" ht="21" customHeight="1"/>
    <row r="54" spans="1:17" ht="16.5" customHeight="1"/>
    <row r="55" spans="1:17" ht="15.75" customHeight="1"/>
    <row r="56" spans="1:17" ht="18" customHeight="1"/>
    <row r="57" spans="1:17" ht="30.75" customHeight="1"/>
    <row r="58" spans="1:17" ht="32.25" customHeight="1"/>
    <row r="59" spans="1:17" ht="32.25" customHeight="1"/>
    <row r="60" spans="1:17" ht="36.75" customHeight="1"/>
  </sheetData>
  <protectedRanges>
    <protectedRange sqref="B14:I14" name="Диапазон1"/>
    <protectedRange sqref="B23:I23" name="Диапазон2"/>
    <protectedRange sqref="B31:I32" name="Диапазон3"/>
  </protectedRanges>
  <mergeCells count="27">
    <mergeCell ref="C3:E3"/>
    <mergeCell ref="B46:C46"/>
    <mergeCell ref="B2:I2"/>
    <mergeCell ref="B1:I1"/>
    <mergeCell ref="B4:I4"/>
    <mergeCell ref="B15:I15"/>
    <mergeCell ref="B24:I24"/>
    <mergeCell ref="B34:H34"/>
    <mergeCell ref="B44:C44"/>
    <mergeCell ref="B45:C45"/>
    <mergeCell ref="K41:K42"/>
    <mergeCell ref="B43:C43"/>
    <mergeCell ref="B42:C42"/>
    <mergeCell ref="K10:L17"/>
    <mergeCell ref="B41:C41"/>
    <mergeCell ref="K37:K40"/>
    <mergeCell ref="B36:C37"/>
    <mergeCell ref="B38:C38"/>
    <mergeCell ref="B39:C39"/>
    <mergeCell ref="B40:C40"/>
    <mergeCell ref="K2:L2"/>
    <mergeCell ref="K18:L20"/>
    <mergeCell ref="K21:L22"/>
    <mergeCell ref="K23:L24"/>
    <mergeCell ref="K26:L26"/>
    <mergeCell ref="K3:L4"/>
    <mergeCell ref="K5:L9"/>
  </mergeCells>
  <phoneticPr fontId="6" type="noConversion"/>
  <hyperlinks>
    <hyperlink ref="K46:N46" location="начало!A1" display="Переход на начальную страницу"/>
    <hyperlink ref="K26" location="начало!A1" display="Переход на начальную страницу"/>
    <hyperlink ref="K45" location="начало!A1" display="Переход на начальную страницу"/>
  </hyperlinks>
  <pageMargins left="0.75" right="0.33" top="0.5" bottom="0.26" header="0.5" footer="0.28000000000000003"/>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topLeftCell="A13" zoomScale="90" zoomScaleNormal="100" zoomScaleSheetLayoutView="90" workbookViewId="0">
      <selection activeCell="F18" sqref="F18"/>
    </sheetView>
  </sheetViews>
  <sheetFormatPr defaultColWidth="9.140625" defaultRowHeight="12.75"/>
  <cols>
    <col min="1" max="1" width="37.5703125" style="614" customWidth="1"/>
    <col min="2" max="2" width="9.42578125" style="601" customWidth="1"/>
    <col min="3" max="3" width="10.28515625" style="615" customWidth="1"/>
    <col min="4" max="9" width="9.140625" style="601" customWidth="1"/>
    <col min="10" max="16384" width="9.140625" style="601"/>
  </cols>
  <sheetData>
    <row r="1" spans="1:9" ht="15.75" hidden="1">
      <c r="A1" s="2144" t="s">
        <v>339</v>
      </c>
      <c r="B1" s="2144"/>
      <c r="C1" s="600"/>
    </row>
    <row r="2" spans="1:9" hidden="1">
      <c r="A2" s="602"/>
      <c r="B2" s="603"/>
      <c r="C2" s="604"/>
    </row>
    <row r="3" spans="1:9" ht="38.25" hidden="1">
      <c r="A3" s="605" t="s">
        <v>340</v>
      </c>
      <c r="B3" s="605" t="s">
        <v>341</v>
      </c>
      <c r="C3" s="606" t="s">
        <v>342</v>
      </c>
    </row>
    <row r="4" spans="1:9" s="610" customFormat="1" hidden="1">
      <c r="A4" s="607" t="s">
        <v>343</v>
      </c>
      <c r="B4" s="608" t="s">
        <v>329</v>
      </c>
      <c r="C4" s="609">
        <f>0.5</f>
        <v>0.5</v>
      </c>
    </row>
    <row r="5" spans="1:9" s="610" customFormat="1" hidden="1">
      <c r="A5" s="607" t="s">
        <v>344</v>
      </c>
      <c r="B5" s="608" t="s">
        <v>329</v>
      </c>
      <c r="C5" s="609">
        <f>17.3</f>
        <v>17.3</v>
      </c>
    </row>
    <row r="6" spans="1:9" hidden="1">
      <c r="A6" s="607" t="s">
        <v>345</v>
      </c>
      <c r="B6" s="608" t="s">
        <v>329</v>
      </c>
      <c r="C6" s="609">
        <f>17.3</f>
        <v>17.3</v>
      </c>
    </row>
    <row r="7" spans="1:9" hidden="1">
      <c r="A7" s="607" t="s">
        <v>346</v>
      </c>
      <c r="B7" s="608" t="s">
        <v>329</v>
      </c>
      <c r="C7" s="609">
        <v>5</v>
      </c>
    </row>
    <row r="8" spans="1:9" hidden="1">
      <c r="A8" s="607" t="s">
        <v>347</v>
      </c>
      <c r="B8" s="608" t="s">
        <v>329</v>
      </c>
      <c r="C8" s="609">
        <v>5</v>
      </c>
    </row>
    <row r="9" spans="1:9" hidden="1">
      <c r="A9" s="607" t="s">
        <v>348</v>
      </c>
      <c r="B9" s="608" t="s">
        <v>329</v>
      </c>
      <c r="C9" s="609">
        <v>3.5</v>
      </c>
    </row>
    <row r="10" spans="1:9" hidden="1">
      <c r="A10" s="607" t="s">
        <v>349</v>
      </c>
      <c r="B10" s="608" t="s">
        <v>329</v>
      </c>
      <c r="C10" s="609">
        <v>20</v>
      </c>
    </row>
    <row r="11" spans="1:9" hidden="1">
      <c r="A11" s="607" t="s">
        <v>350</v>
      </c>
      <c r="B11" s="608" t="s">
        <v>329</v>
      </c>
      <c r="C11" s="609">
        <v>80</v>
      </c>
    </row>
    <row r="12" spans="1:9" hidden="1">
      <c r="A12" s="611" t="s">
        <v>70</v>
      </c>
      <c r="B12" s="612"/>
      <c r="C12" s="613">
        <f>SUM(C4:C11)</f>
        <v>148.6</v>
      </c>
    </row>
    <row r="13" spans="1:9" ht="52.5" customHeight="1">
      <c r="A13" s="1507"/>
      <c r="B13" s="1508"/>
      <c r="C13" s="1509"/>
      <c r="G13" s="2154" t="s">
        <v>761</v>
      </c>
      <c r="H13" s="2154"/>
      <c r="I13" s="2154"/>
    </row>
    <row r="14" spans="1:9" ht="15.75">
      <c r="A14" s="2144" t="s">
        <v>636</v>
      </c>
      <c r="B14" s="2144"/>
      <c r="C14" s="2144"/>
      <c r="D14" s="2144"/>
      <c r="E14" s="2144"/>
      <c r="F14" s="2144"/>
      <c r="G14" s="2144"/>
      <c r="H14" s="2144"/>
      <c r="I14" s="2144"/>
    </row>
    <row r="15" spans="1:9" ht="13.5" thickBot="1"/>
    <row r="16" spans="1:9" ht="15.75">
      <c r="A16" s="2152" t="s">
        <v>479</v>
      </c>
      <c r="B16" s="2150" t="s">
        <v>671</v>
      </c>
      <c r="C16" s="2148" t="s">
        <v>603</v>
      </c>
      <c r="D16" s="1407">
        <v>2020</v>
      </c>
      <c r="E16" s="1407">
        <f>D16+1</f>
        <v>2021</v>
      </c>
      <c r="F16" s="1407">
        <f t="shared" ref="F16:I16" si="0">E16+1</f>
        <v>2022</v>
      </c>
      <c r="G16" s="1407">
        <f t="shared" si="0"/>
        <v>2023</v>
      </c>
      <c r="H16" s="1407">
        <f t="shared" si="0"/>
        <v>2024</v>
      </c>
      <c r="I16" s="1407">
        <f t="shared" si="0"/>
        <v>2025</v>
      </c>
    </row>
    <row r="17" spans="1:9" ht="22.5" customHeight="1">
      <c r="A17" s="2153"/>
      <c r="B17" s="2151"/>
      <c r="C17" s="2149"/>
      <c r="D17" s="2145" t="s">
        <v>351</v>
      </c>
      <c r="E17" s="2145"/>
      <c r="F17" s="2145"/>
      <c r="G17" s="2145"/>
      <c r="H17" s="2145"/>
      <c r="I17" s="2145"/>
    </row>
    <row r="18" spans="1:9" ht="27" customHeight="1">
      <c r="A18" s="2153"/>
      <c r="B18" s="2151"/>
      <c r="C18" s="2149"/>
      <c r="D18" s="1826">
        <f>'2.ДП'!V23</f>
        <v>0</v>
      </c>
      <c r="E18" s="1826">
        <f>'2.ДП'!V43</f>
        <v>0</v>
      </c>
      <c r="F18" s="1826">
        <f>'2.ДП'!V63</f>
        <v>0</v>
      </c>
      <c r="G18" s="1826">
        <f>'2.ДП'!V83</f>
        <v>0</v>
      </c>
      <c r="H18" s="1826">
        <f>'2.ДП'!V103</f>
        <v>0</v>
      </c>
      <c r="I18" s="1826">
        <f>'2.ДП'!V123</f>
        <v>0</v>
      </c>
    </row>
    <row r="19" spans="1:9" ht="21" customHeight="1">
      <c r="A19" s="2146" t="s">
        <v>478</v>
      </c>
      <c r="B19" s="2147"/>
      <c r="C19" s="2147"/>
      <c r="D19" s="2147"/>
      <c r="E19" s="2147"/>
      <c r="F19" s="2147"/>
      <c r="G19" s="2147"/>
      <c r="H19" s="2147"/>
      <c r="I19" s="2147"/>
    </row>
    <row r="20" spans="1:9" ht="21.75" customHeight="1">
      <c r="A20" s="1408" t="s">
        <v>476</v>
      </c>
      <c r="B20" s="981" t="s">
        <v>186</v>
      </c>
      <c r="C20" s="981">
        <v>0.18099999999999999</v>
      </c>
      <c r="D20" s="982">
        <f>+$D$18*C20</f>
        <v>0</v>
      </c>
      <c r="E20" s="982">
        <f t="shared" ref="E20:I20" si="1">+$C$20*E$18</f>
        <v>0</v>
      </c>
      <c r="F20" s="982">
        <f t="shared" si="1"/>
        <v>0</v>
      </c>
      <c r="G20" s="982">
        <f t="shared" si="1"/>
        <v>0</v>
      </c>
      <c r="H20" s="982">
        <f t="shared" si="1"/>
        <v>0</v>
      </c>
      <c r="I20" s="982">
        <f t="shared" si="1"/>
        <v>0</v>
      </c>
    </row>
    <row r="21" spans="1:9" ht="21.75" customHeight="1">
      <c r="A21" s="1408" t="s">
        <v>352</v>
      </c>
      <c r="B21" s="981" t="s">
        <v>186</v>
      </c>
      <c r="C21" s="981">
        <v>3.6999999999999998E-2</v>
      </c>
      <c r="D21" s="982">
        <f>+$C21*D$18</f>
        <v>0</v>
      </c>
      <c r="E21" s="982">
        <f t="shared" ref="E21:I21" si="2">+$C21*E$18</f>
        <v>0</v>
      </c>
      <c r="F21" s="982">
        <f t="shared" si="2"/>
        <v>0</v>
      </c>
      <c r="G21" s="982">
        <f t="shared" si="2"/>
        <v>0</v>
      </c>
      <c r="H21" s="982">
        <f t="shared" si="2"/>
        <v>0</v>
      </c>
      <c r="I21" s="982">
        <f t="shared" si="2"/>
        <v>0</v>
      </c>
    </row>
    <row r="22" spans="1:9" ht="36.75" customHeight="1" thickBot="1">
      <c r="A22" s="1639" t="s">
        <v>477</v>
      </c>
      <c r="B22" s="1640" t="s">
        <v>186</v>
      </c>
      <c r="C22" s="1640">
        <v>3.2000000000000001E-2</v>
      </c>
      <c r="D22" s="1641">
        <f>+D18*$C22</f>
        <v>0</v>
      </c>
      <c r="E22" s="1641">
        <f t="shared" ref="E22:I22" si="3">+E18*$C22</f>
        <v>0</v>
      </c>
      <c r="F22" s="1641">
        <f t="shared" si="3"/>
        <v>0</v>
      </c>
      <c r="G22" s="1641">
        <f t="shared" si="3"/>
        <v>0</v>
      </c>
      <c r="H22" s="1641">
        <f t="shared" si="3"/>
        <v>0</v>
      </c>
      <c r="I22" s="1641">
        <f t="shared" si="3"/>
        <v>0</v>
      </c>
    </row>
    <row r="23" spans="1:9" ht="24" customHeight="1">
      <c r="A23" s="1636" t="s">
        <v>70</v>
      </c>
      <c r="B23" s="1637"/>
      <c r="C23" s="1638">
        <f>SUM(C15:C22)</f>
        <v>0.25</v>
      </c>
      <c r="D23" s="1638">
        <f>SUM(D20:D22)</f>
        <v>0</v>
      </c>
      <c r="E23" s="1638">
        <f t="shared" ref="E23:I23" si="4">SUM(E20:E22)</f>
        <v>0</v>
      </c>
      <c r="F23" s="1638">
        <f t="shared" si="4"/>
        <v>0</v>
      </c>
      <c r="G23" s="1638">
        <f t="shared" si="4"/>
        <v>0</v>
      </c>
      <c r="H23" s="1638">
        <f t="shared" si="4"/>
        <v>0</v>
      </c>
      <c r="I23" s="1638">
        <f t="shared" si="4"/>
        <v>0</v>
      </c>
    </row>
    <row r="24" spans="1:9">
      <c r="A24" s="1325"/>
    </row>
  </sheetData>
  <mergeCells count="8">
    <mergeCell ref="A14:I14"/>
    <mergeCell ref="A1:B1"/>
    <mergeCell ref="D17:I17"/>
    <mergeCell ref="A19:I19"/>
    <mergeCell ref="C16:C18"/>
    <mergeCell ref="B16:B18"/>
    <mergeCell ref="A16:A18"/>
    <mergeCell ref="G13:I13"/>
  </mergeCells>
  <printOptions horizontalCentered="1"/>
  <pageMargins left="0.78740157480314965" right="0.39370078740157483" top="0.78740157480314965" bottom="0.78740157480314965" header="0.31496062992125984" footer="0.31496062992125984"/>
  <pageSetup paperSize="9" scale="82"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17"/>
  <sheetViews>
    <sheetView zoomScale="75" zoomScaleNormal="75" zoomScaleSheetLayoutView="90" workbookViewId="0">
      <selection activeCell="K11" sqref="K11"/>
    </sheetView>
  </sheetViews>
  <sheetFormatPr defaultRowHeight="15.75"/>
  <cols>
    <col min="1" max="1" width="3.5703125" style="1" customWidth="1"/>
    <col min="2" max="2" width="47.42578125" style="9" customWidth="1"/>
    <col min="3" max="3" width="10.7109375" style="9" customWidth="1"/>
    <col min="4" max="7" width="11.28515625" style="9" customWidth="1"/>
    <col min="8" max="8" width="11.85546875" style="9" customWidth="1"/>
    <col min="9" max="11" width="9.140625" style="1"/>
  </cols>
  <sheetData>
    <row r="1" spans="1:14" ht="57.75" customHeight="1">
      <c r="B1" s="1510"/>
      <c r="C1" s="1510"/>
      <c r="D1" s="1510"/>
      <c r="E1" s="1510"/>
      <c r="F1" s="1510"/>
      <c r="G1" s="1510"/>
      <c r="H1" s="1510"/>
    </row>
    <row r="2" spans="1:14">
      <c r="A2" s="1553"/>
      <c r="B2" s="2155" t="s">
        <v>641</v>
      </c>
      <c r="C2" s="2155"/>
      <c r="D2" s="2155"/>
      <c r="E2" s="2155"/>
      <c r="F2" s="2155"/>
      <c r="G2" s="2155"/>
      <c r="H2" s="2155"/>
      <c r="I2" s="1553"/>
    </row>
    <row r="3" spans="1:14" ht="6.75" customHeight="1">
      <c r="A3" s="1553"/>
      <c r="B3" s="1511"/>
      <c r="C3" s="1283"/>
      <c r="D3" s="1283"/>
      <c r="E3" s="1283"/>
      <c r="F3" s="1283"/>
      <c r="G3" s="1283"/>
      <c r="H3" s="1283"/>
    </row>
    <row r="4" spans="1:14" s="1396" customFormat="1" ht="18.75" customHeight="1">
      <c r="A4" s="1393"/>
      <c r="B4" s="1761" t="s">
        <v>84</v>
      </c>
      <c r="C4" s="1761">
        <v>2020</v>
      </c>
      <c r="D4" s="1761">
        <f>C4+1</f>
        <v>2021</v>
      </c>
      <c r="E4" s="1761">
        <f>D4+1</f>
        <v>2022</v>
      </c>
      <c r="F4" s="1761">
        <f>E4+1</f>
        <v>2023</v>
      </c>
      <c r="G4" s="1761">
        <f>F4+1</f>
        <v>2024</v>
      </c>
      <c r="H4" s="1761">
        <f t="shared" ref="H4" si="0">G4+1</f>
        <v>2025</v>
      </c>
      <c r="I4" s="1394"/>
      <c r="J4" s="1394"/>
      <c r="K4" s="1394"/>
      <c r="L4" s="1395"/>
      <c r="M4" s="1395"/>
      <c r="N4" s="1395"/>
    </row>
    <row r="5" spans="1:14" s="5" customFormat="1" ht="24.75" customHeight="1">
      <c r="A5" s="4"/>
      <c r="B5" s="1842" t="s">
        <v>757</v>
      </c>
      <c r="C5" s="1031">
        <f>ППП!B13</f>
        <v>0</v>
      </c>
      <c r="D5" s="1013">
        <f>+ППП!C13</f>
        <v>0</v>
      </c>
      <c r="E5" s="1013">
        <f>+ППП!D13</f>
        <v>0</v>
      </c>
      <c r="F5" s="1013">
        <f>+ППП!E13</f>
        <v>0</v>
      </c>
      <c r="G5" s="1013">
        <f>+ППП!F13</f>
        <v>0</v>
      </c>
      <c r="H5" s="1013">
        <f>+ППП!G13</f>
        <v>0</v>
      </c>
      <c r="I5" s="4"/>
      <c r="J5" s="4"/>
      <c r="K5" s="4"/>
    </row>
    <row r="6" spans="1:14" s="5" customFormat="1" ht="24.75" customHeight="1">
      <c r="A6" s="4"/>
      <c r="B6" s="1843" t="s">
        <v>674</v>
      </c>
      <c r="C6" s="1031">
        <f>C5*80%</f>
        <v>0</v>
      </c>
      <c r="D6" s="1031">
        <f t="shared" ref="D6:H6" si="1">D5*80%</f>
        <v>0</v>
      </c>
      <c r="E6" s="1031">
        <f t="shared" si="1"/>
        <v>0</v>
      </c>
      <c r="F6" s="1031">
        <f t="shared" si="1"/>
        <v>0</v>
      </c>
      <c r="G6" s="1031">
        <f t="shared" si="1"/>
        <v>0</v>
      </c>
      <c r="H6" s="1031">
        <f t="shared" si="1"/>
        <v>0</v>
      </c>
      <c r="I6" s="4"/>
      <c r="J6" s="4"/>
      <c r="K6" s="4"/>
    </row>
    <row r="7" spans="1:14" s="5" customFormat="1" ht="24.75" customHeight="1">
      <c r="A7" s="4"/>
      <c r="B7" s="1843" t="s">
        <v>758</v>
      </c>
      <c r="C7" s="1911"/>
      <c r="D7" s="1911"/>
      <c r="E7" s="1911"/>
      <c r="F7" s="1911"/>
      <c r="G7" s="1911"/>
      <c r="H7" s="1911"/>
      <c r="I7" s="4"/>
      <c r="J7" s="4"/>
      <c r="K7" s="4"/>
    </row>
    <row r="8" spans="1:14" s="5" customFormat="1" ht="24.75" customHeight="1">
      <c r="A8" s="4"/>
      <c r="B8" s="1844" t="s">
        <v>642</v>
      </c>
      <c r="C8" s="1845">
        <f>+C6*C7</f>
        <v>0</v>
      </c>
      <c r="D8" s="1845">
        <f t="shared" ref="D8:H8" si="2">+D6*D7</f>
        <v>0</v>
      </c>
      <c r="E8" s="1845">
        <f t="shared" si="2"/>
        <v>0</v>
      </c>
      <c r="F8" s="1845">
        <f t="shared" si="2"/>
        <v>0</v>
      </c>
      <c r="G8" s="1845">
        <f t="shared" si="2"/>
        <v>0</v>
      </c>
      <c r="H8" s="1845">
        <f t="shared" si="2"/>
        <v>0</v>
      </c>
      <c r="I8" s="4"/>
      <c r="J8" s="4"/>
      <c r="K8" s="4"/>
    </row>
    <row r="9" spans="1:14" s="5" customFormat="1" ht="24.75" customHeight="1">
      <c r="A9" s="4"/>
      <c r="B9" s="1842" t="s">
        <v>759</v>
      </c>
      <c r="C9" s="1827"/>
      <c r="D9" s="1827"/>
      <c r="E9" s="1827"/>
      <c r="F9" s="1827"/>
      <c r="G9" s="1827"/>
      <c r="H9" s="1827"/>
      <c r="I9" s="4"/>
      <c r="J9" s="4"/>
      <c r="K9" s="4"/>
    </row>
    <row r="10" spans="1:14" s="5" customFormat="1" ht="24.75" customHeight="1">
      <c r="A10" s="4"/>
      <c r="B10" s="1843" t="s">
        <v>673</v>
      </c>
      <c r="C10" s="1846">
        <f>C9*80%</f>
        <v>0</v>
      </c>
      <c r="D10" s="1846">
        <f t="shared" ref="D10:H10" si="3">D9*80%</f>
        <v>0</v>
      </c>
      <c r="E10" s="1846">
        <f t="shared" si="3"/>
        <v>0</v>
      </c>
      <c r="F10" s="1846">
        <f t="shared" si="3"/>
        <v>0</v>
      </c>
      <c r="G10" s="1846">
        <f t="shared" si="3"/>
        <v>0</v>
      </c>
      <c r="H10" s="1846">
        <f t="shared" si="3"/>
        <v>0</v>
      </c>
      <c r="I10" s="4"/>
      <c r="J10" s="4"/>
      <c r="K10" s="4"/>
    </row>
    <row r="11" spans="1:14" s="5" customFormat="1" ht="24.75" customHeight="1">
      <c r="A11" s="4"/>
      <c r="B11" s="1843" t="s">
        <v>760</v>
      </c>
      <c r="C11" s="1827"/>
      <c r="D11" s="1827"/>
      <c r="E11" s="1827"/>
      <c r="F11" s="1827"/>
      <c r="G11" s="1827"/>
      <c r="H11" s="1827"/>
      <c r="I11" s="4"/>
      <c r="J11" s="4"/>
      <c r="K11" s="4"/>
    </row>
    <row r="12" spans="1:14" s="5" customFormat="1" ht="24.75" customHeight="1">
      <c r="A12" s="4"/>
      <c r="B12" s="1844" t="s">
        <v>642</v>
      </c>
      <c r="C12" s="1845">
        <f>+C10*C11</f>
        <v>0</v>
      </c>
      <c r="D12" s="1845">
        <f t="shared" ref="D12:H12" si="4">+D10*D11</f>
        <v>0</v>
      </c>
      <c r="E12" s="1845">
        <f t="shared" si="4"/>
        <v>0</v>
      </c>
      <c r="F12" s="1845">
        <f t="shared" si="4"/>
        <v>0</v>
      </c>
      <c r="G12" s="1845">
        <f t="shared" si="4"/>
        <v>0</v>
      </c>
      <c r="H12" s="1845">
        <f t="shared" si="4"/>
        <v>0</v>
      </c>
      <c r="I12" s="4"/>
      <c r="J12" s="4"/>
      <c r="K12" s="4"/>
    </row>
    <row r="13" spans="1:14" s="47" customFormat="1" ht="24.75" customHeight="1">
      <c r="A13" s="46"/>
      <c r="B13" s="1847" t="s">
        <v>85</v>
      </c>
      <c r="C13" s="1848">
        <f>C8+C12</f>
        <v>0</v>
      </c>
      <c r="D13" s="1848">
        <f t="shared" ref="D13:H13" si="5">D8+D12</f>
        <v>0</v>
      </c>
      <c r="E13" s="1848">
        <f t="shared" si="5"/>
        <v>0</v>
      </c>
      <c r="F13" s="1848">
        <f t="shared" si="5"/>
        <v>0</v>
      </c>
      <c r="G13" s="1848">
        <f t="shared" si="5"/>
        <v>0</v>
      </c>
      <c r="H13" s="1848">
        <f t="shared" si="5"/>
        <v>0</v>
      </c>
      <c r="I13" s="46"/>
      <c r="J13" s="46"/>
      <c r="K13" s="46"/>
    </row>
    <row r="14" spans="1:14" s="5" customFormat="1" ht="15.75" customHeight="1">
      <c r="A14" s="4"/>
      <c r="B14" s="9"/>
      <c r="C14" s="9"/>
      <c r="D14" s="9"/>
      <c r="E14" s="9"/>
      <c r="F14" s="9"/>
      <c r="G14" s="9"/>
      <c r="H14" s="9"/>
      <c r="I14" s="4"/>
      <c r="J14" s="4"/>
      <c r="K14" s="4"/>
    </row>
    <row r="15" spans="1:14" s="5" customFormat="1" ht="33" customHeight="1">
      <c r="A15" s="4"/>
      <c r="B15" s="1756" t="s">
        <v>691</v>
      </c>
      <c r="C15" s="9"/>
      <c r="D15" s="9"/>
      <c r="E15" s="9"/>
      <c r="F15" s="9"/>
      <c r="G15" s="9"/>
      <c r="H15" s="9"/>
      <c r="I15" s="4"/>
      <c r="J15" s="4"/>
      <c r="K15" s="4"/>
    </row>
    <row r="16" spans="1:14" s="5" customFormat="1" ht="33.75" customHeight="1">
      <c r="A16" s="4"/>
      <c r="B16" s="9"/>
      <c r="C16" s="9"/>
      <c r="D16" s="9"/>
      <c r="E16" s="9"/>
      <c r="F16" s="9"/>
      <c r="G16" s="9"/>
      <c r="H16" s="9"/>
      <c r="I16" s="4"/>
      <c r="J16" s="4"/>
      <c r="K16" s="4"/>
    </row>
    <row r="17" spans="1:11" s="47" customFormat="1" ht="24" customHeight="1">
      <c r="A17" s="46"/>
      <c r="B17" s="9"/>
      <c r="C17" s="9"/>
      <c r="D17" s="9"/>
      <c r="E17" s="9"/>
      <c r="F17" s="9"/>
      <c r="G17" s="9"/>
      <c r="H17" s="9"/>
      <c r="I17" s="46"/>
      <c r="J17" s="46"/>
      <c r="K17" s="46"/>
    </row>
  </sheetData>
  <mergeCells count="1">
    <mergeCell ref="B2:H2"/>
  </mergeCells>
  <phoneticPr fontId="6" type="noConversion"/>
  <conditionalFormatting sqref="B5:H13">
    <cfRule type="cellIs" dxfId="19" priority="2" operator="equal">
      <formula>0</formula>
    </cfRule>
  </conditionalFormatting>
  <printOptions horizontalCentered="1"/>
  <pageMargins left="0.78740157480314965" right="0.39370078740157483" top="0.78740157480314965" bottom="0.78740157480314965" header="0.31496062992125984" footer="0.31496062992125984"/>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7"/>
  <sheetViews>
    <sheetView zoomScale="77" zoomScaleNormal="77" zoomScaleSheetLayoutView="80" workbookViewId="0">
      <selection activeCell="D23" sqref="D23"/>
    </sheetView>
  </sheetViews>
  <sheetFormatPr defaultRowHeight="15.75"/>
  <cols>
    <col min="1" max="1" width="50.140625" style="9" customWidth="1"/>
    <col min="2" max="2" width="10.5703125" style="9" customWidth="1"/>
    <col min="3" max="6" width="10.7109375" style="9" customWidth="1"/>
    <col min="7" max="7" width="10.7109375" style="1" customWidth="1"/>
    <col min="8" max="8" width="9.140625" style="1"/>
  </cols>
  <sheetData>
    <row r="1" spans="1:11" ht="38.25" customHeight="1">
      <c r="G1" s="1292" t="s">
        <v>647</v>
      </c>
    </row>
    <row r="2" spans="1:11">
      <c r="A2" s="2155" t="s">
        <v>652</v>
      </c>
      <c r="B2" s="2155"/>
      <c r="C2" s="2155"/>
      <c r="D2" s="2155"/>
      <c r="E2" s="2155"/>
      <c r="F2" s="2155"/>
      <c r="G2" s="2155"/>
    </row>
    <row r="3" spans="1:11">
      <c r="G3" s="1557" t="s">
        <v>480</v>
      </c>
    </row>
    <row r="4" spans="1:11" s="1396" customFormat="1" ht="22.5" customHeight="1">
      <c r="A4" s="1761" t="s">
        <v>84</v>
      </c>
      <c r="B4" s="1761">
        <v>2019</v>
      </c>
      <c r="C4" s="1761">
        <f>B4+1</f>
        <v>2020</v>
      </c>
      <c r="D4" s="1761">
        <f>C4+1</f>
        <v>2021</v>
      </c>
      <c r="E4" s="1761">
        <f>D4+1</f>
        <v>2022</v>
      </c>
      <c r="F4" s="1761">
        <f>E4+1</f>
        <v>2023</v>
      </c>
      <c r="G4" s="1761">
        <f t="shared" ref="G4" si="0">F4+1</f>
        <v>2024</v>
      </c>
      <c r="H4" s="1394"/>
      <c r="I4" s="1395"/>
      <c r="J4" s="1395"/>
      <c r="K4" s="1395"/>
    </row>
    <row r="5" spans="1:11" ht="25.5" customHeight="1">
      <c r="A5" s="1849" t="s">
        <v>379</v>
      </c>
      <c r="B5" s="1555">
        <f>ППП!B25</f>
        <v>0</v>
      </c>
      <c r="C5" s="1555">
        <f>ППП!C25</f>
        <v>0</v>
      </c>
      <c r="D5" s="1555">
        <f>ППП!D25</f>
        <v>0</v>
      </c>
      <c r="E5" s="1555">
        <f>ППП!E25</f>
        <v>0</v>
      </c>
      <c r="F5" s="1555">
        <f>ППП!F25</f>
        <v>0</v>
      </c>
      <c r="G5" s="1555">
        <f>ППП!G25</f>
        <v>0</v>
      </c>
    </row>
    <row r="6" spans="1:11" ht="27" customHeight="1">
      <c r="A6" s="1849" t="s">
        <v>368</v>
      </c>
      <c r="B6" s="1555">
        <f>'3 корм ЛОШ'!N22</f>
        <v>0</v>
      </c>
      <c r="C6" s="1555">
        <f>'3 корм ЛОШ'!N42</f>
        <v>0</v>
      </c>
      <c r="D6" s="1555">
        <f>'3 корм ЛОШ'!N62</f>
        <v>0</v>
      </c>
      <c r="E6" s="1555">
        <f>'3 корм ЛОШ'!N82</f>
        <v>0</v>
      </c>
      <c r="F6" s="1555">
        <f>'3 корм ЛОШ'!N102</f>
        <v>0</v>
      </c>
      <c r="G6" s="1555">
        <f>'3 корм ЛОШ'!N122</f>
        <v>0</v>
      </c>
    </row>
    <row r="7" spans="1:11" ht="27" customHeight="1">
      <c r="A7" s="1850" t="s">
        <v>650</v>
      </c>
      <c r="B7" s="1555">
        <f>('3 корм ЛОШ'!F22+'3 корм ЛОШ'!I22)/3*2</f>
        <v>0</v>
      </c>
      <c r="C7" s="1556">
        <f>('3 корм ЛОШ'!F42+'3 корм ЛОШ'!I42)/3*2</f>
        <v>0</v>
      </c>
      <c r="D7" s="1556">
        <f>('3 корм ЛОШ'!F62+'3 корм ЛОШ'!I62)/3*2</f>
        <v>0</v>
      </c>
      <c r="E7" s="1556">
        <f>('3 корм ЛОШ'!F82+'3 корм ЛОШ'!I82)/3*2</f>
        <v>0</v>
      </c>
      <c r="F7" s="1556">
        <f>('3 корм ЛОШ'!F102+'3 корм ЛОШ'!I102)/3*2</f>
        <v>0</v>
      </c>
      <c r="G7" s="1556">
        <f>('3 корм ЛОШ'!F122+'3 корм ЛОШ'!I122)/3*2</f>
        <v>0</v>
      </c>
    </row>
    <row r="8" spans="1:11" ht="27" customHeight="1">
      <c r="A8" s="1850" t="s">
        <v>404</v>
      </c>
      <c r="B8" s="1555">
        <f>'4.защ лош'!D23</f>
        <v>0</v>
      </c>
      <c r="C8" s="1555">
        <f>'4.защ лош'!E23</f>
        <v>0</v>
      </c>
      <c r="D8" s="1555">
        <f>'4.защ лош'!F23</f>
        <v>0</v>
      </c>
      <c r="E8" s="1555">
        <f>'4.защ лош'!G23</f>
        <v>0</v>
      </c>
      <c r="F8" s="1555">
        <f>'4.защ лош'!H23</f>
        <v>0</v>
      </c>
      <c r="G8" s="1555">
        <f>'4.защ лош'!I23</f>
        <v>0</v>
      </c>
    </row>
    <row r="9" spans="1:11" ht="27" customHeight="1">
      <c r="A9" s="1850" t="s">
        <v>776</v>
      </c>
      <c r="B9" s="1556">
        <f>SUM(B5:B7)*5%</f>
        <v>0</v>
      </c>
      <c r="C9" s="1556">
        <f t="shared" ref="C9:G9" si="1">SUM(C5:C7)*5%</f>
        <v>0</v>
      </c>
      <c r="D9" s="1556">
        <f t="shared" si="1"/>
        <v>0</v>
      </c>
      <c r="E9" s="1556">
        <f t="shared" si="1"/>
        <v>0</v>
      </c>
      <c r="F9" s="1556">
        <f t="shared" si="1"/>
        <v>0</v>
      </c>
      <c r="G9" s="1556">
        <f t="shared" si="1"/>
        <v>0</v>
      </c>
    </row>
    <row r="10" spans="1:11" ht="27" customHeight="1">
      <c r="A10" s="1851" t="s">
        <v>651</v>
      </c>
      <c r="B10" s="1852">
        <f>SUM(B5:B9)</f>
        <v>0</v>
      </c>
      <c r="C10" s="1852">
        <f t="shared" ref="C10:G10" si="2">SUM(C5:C9)</f>
        <v>0</v>
      </c>
      <c r="D10" s="1852">
        <f t="shared" si="2"/>
        <v>0</v>
      </c>
      <c r="E10" s="1852">
        <f t="shared" si="2"/>
        <v>0</v>
      </c>
      <c r="F10" s="1852">
        <f t="shared" si="2"/>
        <v>0</v>
      </c>
      <c r="G10" s="1852">
        <f t="shared" si="2"/>
        <v>0</v>
      </c>
    </row>
    <row r="11" spans="1:11" ht="17.25" customHeight="1">
      <c r="A11" s="49"/>
      <c r="B11" s="49"/>
      <c r="C11" s="49"/>
      <c r="D11" s="49"/>
      <c r="E11" s="49"/>
      <c r="F11" s="49"/>
    </row>
    <row r="12" spans="1:11">
      <c r="A12" s="863" t="s">
        <v>409</v>
      </c>
    </row>
    <row r="13" spans="1:11" ht="15.75" customHeight="1">
      <c r="A13" s="863" t="s">
        <v>410</v>
      </c>
    </row>
    <row r="14" spans="1:11" ht="15.75" customHeight="1">
      <c r="A14" s="863" t="s">
        <v>411</v>
      </c>
    </row>
    <row r="15" spans="1:11">
      <c r="A15" s="863" t="s">
        <v>412</v>
      </c>
    </row>
    <row r="17" spans="1:1">
      <c r="A17" s="1756" t="s">
        <v>691</v>
      </c>
    </row>
  </sheetData>
  <mergeCells count="1">
    <mergeCell ref="A2:G2"/>
  </mergeCells>
  <phoneticPr fontId="6" type="noConversion"/>
  <conditionalFormatting sqref="A7:G10">
    <cfRule type="cellIs" dxfId="18" priority="1" operator="equal">
      <formula>0</formula>
    </cfRule>
  </conditionalFormatting>
  <printOptions horizontalCentered="1"/>
  <pageMargins left="0.78740157480314965" right="0.39370078740157483" top="0.78740157480314965" bottom="0.78740157480314965"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6"/>
  <sheetViews>
    <sheetView view="pageBreakPreview" zoomScale="90" zoomScaleNormal="100" zoomScaleSheetLayoutView="90" workbookViewId="0">
      <selection activeCell="M17" sqref="M17"/>
    </sheetView>
  </sheetViews>
  <sheetFormatPr defaultColWidth="9.140625" defaultRowHeight="12.75"/>
  <cols>
    <col min="1" max="1" width="27.7109375" style="122" customWidth="1"/>
    <col min="2" max="8" width="12.28515625" style="122" customWidth="1"/>
    <col min="9" max="12" width="9.140625" style="1699"/>
    <col min="13" max="13" width="27.140625" style="1699" customWidth="1"/>
    <col min="14" max="19" width="18.5703125" style="1699" customWidth="1"/>
    <col min="20" max="16384" width="9.140625" style="1699"/>
  </cols>
  <sheetData>
    <row r="1" spans="1:19" ht="18.75">
      <c r="H1" s="1292" t="s">
        <v>680</v>
      </c>
    </row>
    <row r="2" spans="1:19" ht="17.25" customHeight="1">
      <c r="A2" s="2159" t="s">
        <v>87</v>
      </c>
      <c r="B2" s="2159"/>
      <c r="C2" s="2159"/>
      <c r="D2" s="2159"/>
      <c r="E2" s="2159"/>
      <c r="F2" s="2159"/>
      <c r="G2" s="2159"/>
      <c r="H2" s="2159"/>
    </row>
    <row r="3" spans="1:19" ht="24.75" customHeight="1" thickBot="1">
      <c r="A3" s="1393" t="s">
        <v>681</v>
      </c>
      <c r="B3" s="1699"/>
      <c r="C3" s="2412">
        <v>0.03</v>
      </c>
      <c r="D3" s="1699"/>
      <c r="E3" s="1699"/>
      <c r="F3" s="2411" t="s">
        <v>772</v>
      </c>
      <c r="G3" s="2411"/>
      <c r="H3" s="2413">
        <v>12130</v>
      </c>
    </row>
    <row r="4" spans="1:19" s="1705" customFormat="1" ht="85.5" customHeight="1" thickBot="1">
      <c r="A4" s="1700" t="s">
        <v>156</v>
      </c>
      <c r="B4" s="1701" t="s">
        <v>212</v>
      </c>
      <c r="C4" s="1702" t="s">
        <v>220</v>
      </c>
      <c r="D4" s="1702" t="s">
        <v>219</v>
      </c>
      <c r="E4" s="1702" t="s">
        <v>213</v>
      </c>
      <c r="F4" s="1702" t="s">
        <v>769</v>
      </c>
      <c r="G4" s="1703" t="s">
        <v>218</v>
      </c>
      <c r="H4" s="1704" t="s">
        <v>332</v>
      </c>
    </row>
    <row r="5" spans="1:19" s="1705" customFormat="1" ht="18.75" customHeight="1" thickBot="1">
      <c r="A5" s="2417" t="s">
        <v>664</v>
      </c>
      <c r="B5" s="2418"/>
      <c r="C5" s="2418"/>
      <c r="D5" s="2418"/>
      <c r="E5" s="2418"/>
      <c r="F5" s="2418"/>
      <c r="G5" s="2418"/>
      <c r="H5" s="2419"/>
      <c r="M5" s="1695"/>
      <c r="N5" s="2160" t="s">
        <v>682</v>
      </c>
      <c r="O5" s="2161"/>
      <c r="P5" s="2160" t="s">
        <v>683</v>
      </c>
      <c r="Q5" s="2161"/>
      <c r="R5" s="2162" t="s">
        <v>684</v>
      </c>
      <c r="S5" s="2163"/>
    </row>
    <row r="6" spans="1:19" s="1705" customFormat="1" ht="21" customHeight="1" thickBot="1">
      <c r="A6" s="1706"/>
      <c r="B6" s="1708"/>
      <c r="C6" s="1707"/>
      <c r="D6" s="1708"/>
      <c r="E6" s="2403">
        <f>B6*C6</f>
        <v>0</v>
      </c>
      <c r="F6" s="2403">
        <f>IF(C6&gt;0,$H$3*$B$36%+(B6-$H$3)*(15+$D$36)%,0)*C6</f>
        <v>0</v>
      </c>
      <c r="G6" s="2403">
        <f>E6+F6</f>
        <v>0</v>
      </c>
      <c r="H6" s="2404">
        <f>+D6*G6/1000</f>
        <v>0</v>
      </c>
      <c r="M6" s="1696" t="s">
        <v>686</v>
      </c>
      <c r="N6" s="1465" t="s">
        <v>687</v>
      </c>
      <c r="O6" s="1465" t="s">
        <v>688</v>
      </c>
      <c r="P6" s="1465" t="s">
        <v>687</v>
      </c>
      <c r="Q6" s="1465" t="s">
        <v>688</v>
      </c>
      <c r="R6" s="1465" t="s">
        <v>687</v>
      </c>
      <c r="S6" s="1465" t="s">
        <v>688</v>
      </c>
    </row>
    <row r="7" spans="1:19" s="1705" customFormat="1" ht="21" customHeight="1" thickBot="1">
      <c r="A7" s="1709"/>
      <c r="B7" s="1708"/>
      <c r="C7" s="1707"/>
      <c r="D7" s="1708"/>
      <c r="E7" s="2403">
        <f>B7*C7</f>
        <v>0</v>
      </c>
      <c r="F7" s="2403">
        <f t="shared" ref="F7:F8" si="0">IF(C7&gt;0,$H$3*$B$36%+(B7-$H$3)*(15+$D$36)%,0)*C7</f>
        <v>0</v>
      </c>
      <c r="G7" s="2403">
        <f t="shared" ref="G7:G8" si="1">E7+F7</f>
        <v>0</v>
      </c>
      <c r="H7" s="2404">
        <f>+D7*G7/1000</f>
        <v>0</v>
      </c>
      <c r="M7" s="1710" t="s">
        <v>685</v>
      </c>
      <c r="N7" s="1711">
        <f>C6</f>
        <v>0</v>
      </c>
      <c r="O7" s="1712">
        <f>E6*D6/1000</f>
        <v>0</v>
      </c>
      <c r="P7" s="1711">
        <f>C31</f>
        <v>0</v>
      </c>
      <c r="Q7" s="1713">
        <f>E31*D31/1000</f>
        <v>0</v>
      </c>
      <c r="R7" s="1711">
        <f>P7-N7</f>
        <v>0</v>
      </c>
      <c r="S7" s="1711">
        <f>Q7-O7</f>
        <v>0</v>
      </c>
    </row>
    <row r="8" spans="1:19" s="1705" customFormat="1" ht="21" customHeight="1" thickBot="1">
      <c r="A8" s="1706"/>
      <c r="B8" s="1708"/>
      <c r="C8" s="1707"/>
      <c r="D8" s="1708"/>
      <c r="E8" s="2403">
        <f>B8*C8</f>
        <v>0</v>
      </c>
      <c r="F8" s="2403">
        <f t="shared" si="0"/>
        <v>0</v>
      </c>
      <c r="G8" s="2403">
        <f t="shared" si="1"/>
        <v>0</v>
      </c>
      <c r="H8" s="2404">
        <f t="shared" ref="H8" si="2">+D8*G8/1000</f>
        <v>0</v>
      </c>
      <c r="M8" s="1710" t="s">
        <v>689</v>
      </c>
      <c r="N8" s="1711">
        <f>C7</f>
        <v>0</v>
      </c>
      <c r="O8" s="1712">
        <f>E7*D7/1000</f>
        <v>0</v>
      </c>
      <c r="P8" s="1711">
        <f t="shared" ref="P8:P9" si="3">C32</f>
        <v>0</v>
      </c>
      <c r="Q8" s="1713">
        <f t="shared" ref="Q8:Q9" si="4">E32*D32/1000</f>
        <v>0</v>
      </c>
      <c r="R8" s="1711">
        <f t="shared" ref="R8:S10" si="5">P8-N8</f>
        <v>0</v>
      </c>
      <c r="S8" s="1711">
        <f t="shared" si="5"/>
        <v>0</v>
      </c>
    </row>
    <row r="9" spans="1:19" s="1705" customFormat="1" ht="21" customHeight="1" thickBot="1">
      <c r="A9" s="2405" t="s">
        <v>70</v>
      </c>
      <c r="B9" s="2406" t="s">
        <v>221</v>
      </c>
      <c r="C9" s="2407">
        <f>SUM(C6:C8)</f>
        <v>0</v>
      </c>
      <c r="D9" s="2406" t="s">
        <v>221</v>
      </c>
      <c r="E9" s="2406">
        <f>SUM(E6:E8)</f>
        <v>0</v>
      </c>
      <c r="F9" s="2406">
        <f t="shared" ref="F9:H9" si="6">SUM(F6:F8)</f>
        <v>0</v>
      </c>
      <c r="G9" s="2406">
        <f t="shared" si="6"/>
        <v>0</v>
      </c>
      <c r="H9" s="2406">
        <f t="shared" si="6"/>
        <v>0</v>
      </c>
      <c r="M9" s="1710"/>
      <c r="N9" s="1711">
        <f>C8</f>
        <v>0</v>
      </c>
      <c r="O9" s="1716"/>
      <c r="P9" s="1711">
        <f t="shared" si="3"/>
        <v>0</v>
      </c>
      <c r="Q9" s="1713">
        <f t="shared" si="4"/>
        <v>0</v>
      </c>
      <c r="R9" s="1711">
        <f t="shared" si="5"/>
        <v>0</v>
      </c>
      <c r="S9" s="1711">
        <f t="shared" si="5"/>
        <v>0</v>
      </c>
    </row>
    <row r="10" spans="1:19" s="1705" customFormat="1" ht="18.75" customHeight="1" thickBot="1">
      <c r="A10" s="2414" t="s">
        <v>665</v>
      </c>
      <c r="B10" s="2415"/>
      <c r="C10" s="2415"/>
      <c r="D10" s="2415"/>
      <c r="E10" s="2415"/>
      <c r="F10" s="2415"/>
      <c r="G10" s="2415"/>
      <c r="H10" s="2416"/>
      <c r="M10" s="1710" t="s">
        <v>467</v>
      </c>
      <c r="N10" s="1711">
        <f>SUM(N7:N9)</f>
        <v>0</v>
      </c>
      <c r="O10" s="1712">
        <f>SUM(O7:O9)</f>
        <v>0</v>
      </c>
      <c r="P10" s="1711">
        <f>SUM(P7:P9)</f>
        <v>0</v>
      </c>
      <c r="Q10" s="1713">
        <f>SUM(Q7:Q9)</f>
        <v>0</v>
      </c>
      <c r="R10" s="1711">
        <f t="shared" si="5"/>
        <v>0</v>
      </c>
      <c r="S10" s="1711">
        <f t="shared" si="5"/>
        <v>0</v>
      </c>
    </row>
    <row r="11" spans="1:19" s="1705" customFormat="1" ht="21" customHeight="1" thickBot="1">
      <c r="A11" s="1706"/>
      <c r="B11" s="1714">
        <f>B6*(1+C$3)</f>
        <v>0</v>
      </c>
      <c r="C11" s="1707"/>
      <c r="D11" s="1708"/>
      <c r="E11" s="2403">
        <f>+B11*C11</f>
        <v>0</v>
      </c>
      <c r="F11" s="2403">
        <f>IF(C11&gt;0,$H$3*$B$36%+(B11-$H$3)*(15+$D$36)%,0)*C11</f>
        <v>0</v>
      </c>
      <c r="G11" s="2403">
        <f>E11+F11</f>
        <v>0</v>
      </c>
      <c r="H11" s="2404">
        <f>+D11*G11/1000</f>
        <v>0</v>
      </c>
      <c r="M11" s="1717" t="s">
        <v>690</v>
      </c>
      <c r="N11" s="2164" t="e">
        <f>E9/C9</f>
        <v>#DIV/0!</v>
      </c>
      <c r="O11" s="2165"/>
      <c r="P11" s="2164" t="e">
        <f>E34/C34</f>
        <v>#DIV/0!</v>
      </c>
      <c r="Q11" s="2165"/>
      <c r="R11" s="2156" t="e">
        <f>P11/N11</f>
        <v>#DIV/0!</v>
      </c>
      <c r="S11" s="2157"/>
    </row>
    <row r="12" spans="1:19" s="1705" customFormat="1" ht="21" customHeight="1">
      <c r="A12" s="1709"/>
      <c r="B12" s="1714">
        <f t="shared" ref="B12:B13" si="7">B7*(1+C$3)</f>
        <v>0</v>
      </c>
      <c r="C12" s="1707"/>
      <c r="D12" s="1708"/>
      <c r="E12" s="2403">
        <f>+B12*C12</f>
        <v>0</v>
      </c>
      <c r="F12" s="2403">
        <f t="shared" ref="F12:F13" si="8">IF(C12&gt;0,$H$3*$B$36%+(B12-$H$3)*(15+$D$36)%,0)*C12</f>
        <v>0</v>
      </c>
      <c r="G12" s="2403">
        <f t="shared" ref="G12:G13" si="9">E12+F12</f>
        <v>0</v>
      </c>
      <c r="H12" s="2404">
        <f>+D12*G12/1000</f>
        <v>0</v>
      </c>
    </row>
    <row r="13" spans="1:19" s="1705" customFormat="1" ht="21" customHeight="1">
      <c r="A13" s="1706"/>
      <c r="B13" s="1714">
        <f t="shared" si="7"/>
        <v>0</v>
      </c>
      <c r="C13" s="1707"/>
      <c r="D13" s="1708"/>
      <c r="E13" s="2403">
        <f>+B13*C13</f>
        <v>0</v>
      </c>
      <c r="F13" s="2403">
        <f t="shared" si="8"/>
        <v>0</v>
      </c>
      <c r="G13" s="2403">
        <f t="shared" si="9"/>
        <v>0</v>
      </c>
      <c r="H13" s="2404">
        <f>+D13*G13/1000</f>
        <v>0</v>
      </c>
      <c r="M13" s="2158" t="s">
        <v>691</v>
      </c>
      <c r="N13" s="2158"/>
    </row>
    <row r="14" spans="1:19" s="1705" customFormat="1" ht="21" customHeight="1" thickBot="1">
      <c r="A14" s="2405" t="s">
        <v>70</v>
      </c>
      <c r="B14" s="2406" t="s">
        <v>221</v>
      </c>
      <c r="C14" s="2406">
        <f>SUM(C11:C13)</f>
        <v>0</v>
      </c>
      <c r="D14" s="2406" t="s">
        <v>221</v>
      </c>
      <c r="E14" s="2406">
        <f>SUM(E11:E13)</f>
        <v>0</v>
      </c>
      <c r="F14" s="2406">
        <f t="shared" ref="F14" si="10">SUM(F11:F13)</f>
        <v>0</v>
      </c>
      <c r="G14" s="2406">
        <f t="shared" ref="G14" si="11">SUM(G11:G13)</f>
        <v>0</v>
      </c>
      <c r="H14" s="2408">
        <f>SUM(H11:H13)</f>
        <v>0</v>
      </c>
    </row>
    <row r="15" spans="1:19" s="1705" customFormat="1" ht="18.75" customHeight="1">
      <c r="A15" s="2414" t="s">
        <v>666</v>
      </c>
      <c r="B15" s="2415"/>
      <c r="C15" s="2415"/>
      <c r="D15" s="2415"/>
      <c r="E15" s="2415"/>
      <c r="F15" s="2415"/>
      <c r="G15" s="2415"/>
      <c r="H15" s="2416"/>
    </row>
    <row r="16" spans="1:19" s="1705" customFormat="1" ht="21" customHeight="1">
      <c r="A16" s="1706"/>
      <c r="B16" s="1714">
        <f t="shared" ref="B16:B18" si="12">B11*(1+C$3)</f>
        <v>0</v>
      </c>
      <c r="C16" s="1707"/>
      <c r="D16" s="1708"/>
      <c r="E16" s="1714">
        <f>+B16*C16</f>
        <v>0</v>
      </c>
      <c r="F16" s="2403">
        <f>IF(C16&gt;0,$H$3*$B$36%+(B16-$H$3)*(15+$D$36)%,0)*C16</f>
        <v>0</v>
      </c>
      <c r="G16" s="2403">
        <f>E16+F16</f>
        <v>0</v>
      </c>
      <c r="H16" s="2404">
        <f>+D16*G16/1000</f>
        <v>0</v>
      </c>
    </row>
    <row r="17" spans="1:18" s="1705" customFormat="1" ht="21" customHeight="1">
      <c r="A17" s="1709"/>
      <c r="B17" s="1714">
        <f t="shared" si="12"/>
        <v>0</v>
      </c>
      <c r="C17" s="1707"/>
      <c r="D17" s="1708"/>
      <c r="E17" s="1714">
        <f>+B17*C17</f>
        <v>0</v>
      </c>
      <c r="F17" s="2403">
        <f t="shared" ref="F17:F18" si="13">IF(C17&gt;0,$H$3*$B$36%+(B17-$H$3)*(15+$D$36)%,0)*C17</f>
        <v>0</v>
      </c>
      <c r="G17" s="2403">
        <f t="shared" ref="G17:G18" si="14">E17+F17</f>
        <v>0</v>
      </c>
      <c r="H17" s="2404">
        <f>+D17*G17/1000</f>
        <v>0</v>
      </c>
    </row>
    <row r="18" spans="1:18" s="1705" customFormat="1" ht="21" customHeight="1">
      <c r="A18" s="1706"/>
      <c r="B18" s="1714">
        <f t="shared" si="12"/>
        <v>0</v>
      </c>
      <c r="C18" s="1707"/>
      <c r="D18" s="1708"/>
      <c r="E18" s="1714">
        <f>+B18*C18</f>
        <v>0</v>
      </c>
      <c r="F18" s="2403">
        <f t="shared" si="13"/>
        <v>0</v>
      </c>
      <c r="G18" s="2403">
        <f t="shared" si="14"/>
        <v>0</v>
      </c>
      <c r="H18" s="2404">
        <f>+D18*G18/1000</f>
        <v>0</v>
      </c>
    </row>
    <row r="19" spans="1:18" s="1705" customFormat="1" ht="21" customHeight="1" thickBot="1">
      <c r="A19" s="1718" t="s">
        <v>70</v>
      </c>
      <c r="B19" s="2409" t="s">
        <v>221</v>
      </c>
      <c r="C19" s="2409">
        <f>SUM(C16:C18)</f>
        <v>0</v>
      </c>
      <c r="D19" s="2409" t="s">
        <v>221</v>
      </c>
      <c r="E19" s="2409">
        <f>SUM(E16:E18)</f>
        <v>0</v>
      </c>
      <c r="F19" s="2406">
        <f t="shared" ref="F19" si="15">SUM(F16:F18)</f>
        <v>0</v>
      </c>
      <c r="G19" s="2406">
        <f t="shared" ref="G19" si="16">SUM(G16:G18)</f>
        <v>0</v>
      </c>
      <c r="H19" s="2410">
        <f>SUM(H16:H18)</f>
        <v>0</v>
      </c>
    </row>
    <row r="20" spans="1:18" s="1705" customFormat="1" ht="19.5" customHeight="1">
      <c r="A20" s="2414" t="s">
        <v>667</v>
      </c>
      <c r="B20" s="2415"/>
      <c r="C20" s="2415"/>
      <c r="D20" s="2415"/>
      <c r="E20" s="2415"/>
      <c r="F20" s="2415"/>
      <c r="G20" s="2415"/>
      <c r="H20" s="2416"/>
      <c r="L20" s="1719"/>
      <c r="M20" s="824"/>
      <c r="N20" s="824"/>
      <c r="O20" s="824"/>
      <c r="P20" s="824"/>
      <c r="Q20" s="824"/>
      <c r="R20" s="1720"/>
    </row>
    <row r="21" spans="1:18" s="1705" customFormat="1" ht="21" customHeight="1">
      <c r="A21" s="1706"/>
      <c r="B21" s="1714">
        <f t="shared" ref="B21:B23" si="17">B16*(1+C$3)</f>
        <v>0</v>
      </c>
      <c r="C21" s="1707"/>
      <c r="D21" s="1708"/>
      <c r="E21" s="1714">
        <f>+B21*C21</f>
        <v>0</v>
      </c>
      <c r="F21" s="2403">
        <f>IF(C21&gt;0,$H$3*$B$36%+(B21-$H$3)*(15+$D$36)%,0)*C21</f>
        <v>0</v>
      </c>
      <c r="G21" s="2403">
        <f>E21+F21</f>
        <v>0</v>
      </c>
      <c r="H21" s="2404">
        <f>+D21*G21/1000</f>
        <v>0</v>
      </c>
      <c r="L21" s="1719"/>
      <c r="M21" s="824"/>
      <c r="N21" s="824"/>
      <c r="O21" s="824"/>
      <c r="P21" s="824"/>
      <c r="Q21" s="824"/>
      <c r="R21" s="1720"/>
    </row>
    <row r="22" spans="1:18" s="1705" customFormat="1" ht="21" customHeight="1">
      <c r="A22" s="1709"/>
      <c r="B22" s="1714">
        <f t="shared" si="17"/>
        <v>0</v>
      </c>
      <c r="C22" s="1707"/>
      <c r="D22" s="1708"/>
      <c r="E22" s="1714">
        <f>+B22*C22</f>
        <v>0</v>
      </c>
      <c r="F22" s="2403">
        <f t="shared" ref="F22:F23" si="18">IF(C22&gt;0,$H$3*$B$36%+(B22-$H$3)*(15+$D$36)%,0)*C22</f>
        <v>0</v>
      </c>
      <c r="G22" s="2403">
        <f t="shared" ref="G22:G23" si="19">E22+F22</f>
        <v>0</v>
      </c>
      <c r="H22" s="2404">
        <f>+D22*G22/1000</f>
        <v>0</v>
      </c>
      <c r="L22" s="1719"/>
      <c r="M22" s="824"/>
      <c r="N22" s="824"/>
      <c r="O22" s="824"/>
      <c r="P22" s="824"/>
      <c r="Q22" s="824"/>
      <c r="R22" s="1720"/>
    </row>
    <row r="23" spans="1:18" s="1705" customFormat="1" ht="21" customHeight="1">
      <c r="A23" s="1706"/>
      <c r="B23" s="1714">
        <f t="shared" si="17"/>
        <v>0</v>
      </c>
      <c r="C23" s="1707"/>
      <c r="D23" s="1708"/>
      <c r="E23" s="1714">
        <f>+B23*C23</f>
        <v>0</v>
      </c>
      <c r="F23" s="2403">
        <f t="shared" si="18"/>
        <v>0</v>
      </c>
      <c r="G23" s="2403">
        <f t="shared" si="19"/>
        <v>0</v>
      </c>
      <c r="H23" s="2404">
        <f>+D23*G23/1000</f>
        <v>0</v>
      </c>
      <c r="L23" s="1719"/>
      <c r="M23" s="824"/>
      <c r="N23" s="824"/>
      <c r="O23" s="824"/>
      <c r="P23" s="824"/>
      <c r="Q23" s="824"/>
      <c r="R23" s="1720"/>
    </row>
    <row r="24" spans="1:18" s="1705" customFormat="1" ht="21" customHeight="1" thickBot="1">
      <c r="A24" s="1715" t="s">
        <v>70</v>
      </c>
      <c r="B24" s="2406" t="s">
        <v>221</v>
      </c>
      <c r="C24" s="2406">
        <f>SUM(C21:C23)</f>
        <v>0</v>
      </c>
      <c r="D24" s="2406" t="s">
        <v>221</v>
      </c>
      <c r="E24" s="2406">
        <f>SUM(E21:E23)</f>
        <v>0</v>
      </c>
      <c r="F24" s="2406">
        <f t="shared" ref="F24" si="20">SUM(F21:F23)</f>
        <v>0</v>
      </c>
      <c r="G24" s="2406">
        <f t="shared" ref="G24" si="21">SUM(G21:G23)</f>
        <v>0</v>
      </c>
      <c r="H24" s="2408">
        <f>SUM(H21:H23)</f>
        <v>0</v>
      </c>
      <c r="L24" s="1719"/>
      <c r="M24" s="824"/>
      <c r="N24" s="824"/>
      <c r="O24" s="824"/>
      <c r="P24" s="824"/>
      <c r="Q24" s="824"/>
      <c r="R24" s="1720"/>
    </row>
    <row r="25" spans="1:18" s="1705" customFormat="1" ht="18" customHeight="1">
      <c r="A25" s="2414" t="s">
        <v>668</v>
      </c>
      <c r="B25" s="2415"/>
      <c r="C25" s="2415"/>
      <c r="D25" s="2415"/>
      <c r="E25" s="2415"/>
      <c r="F25" s="2415"/>
      <c r="G25" s="2415"/>
      <c r="H25" s="2416"/>
      <c r="L25" s="1719"/>
      <c r="M25" s="824"/>
      <c r="N25" s="824"/>
      <c r="O25" s="824"/>
      <c r="P25" s="824"/>
      <c r="Q25" s="824"/>
      <c r="R25" s="1720"/>
    </row>
    <row r="26" spans="1:18" s="1705" customFormat="1" ht="21" customHeight="1">
      <c r="A26" s="1706"/>
      <c r="B26" s="1714">
        <f t="shared" ref="B26:B28" si="22">B21*(1+C$3)</f>
        <v>0</v>
      </c>
      <c r="C26" s="1707"/>
      <c r="D26" s="1708"/>
      <c r="E26" s="1714">
        <f>+B26*C26</f>
        <v>0</v>
      </c>
      <c r="F26" s="2403">
        <f>IF(C26&gt;0,$H$3*$B$36%+(B26-$H$3)*(15+$D$36)%,0)*C26</f>
        <v>0</v>
      </c>
      <c r="G26" s="2403">
        <f>E26+F26</f>
        <v>0</v>
      </c>
      <c r="H26" s="2404">
        <f>+D26*G26/1000</f>
        <v>0</v>
      </c>
      <c r="L26" s="1719"/>
      <c r="M26" s="824"/>
      <c r="N26" s="824"/>
      <c r="O26" s="824"/>
      <c r="P26" s="824"/>
      <c r="Q26" s="824"/>
      <c r="R26" s="1720"/>
    </row>
    <row r="27" spans="1:18" s="1705" customFormat="1" ht="21" customHeight="1">
      <c r="A27" s="1709"/>
      <c r="B27" s="1714">
        <f t="shared" si="22"/>
        <v>0</v>
      </c>
      <c r="C27" s="1707"/>
      <c r="D27" s="1708"/>
      <c r="E27" s="1714">
        <f>+B27*C27</f>
        <v>0</v>
      </c>
      <c r="F27" s="2403">
        <f t="shared" ref="F27:F28" si="23">IF(C27&gt;0,$H$3*$B$36%+(B27-$H$3)*(15+$D$36)%,0)*C27</f>
        <v>0</v>
      </c>
      <c r="G27" s="2403">
        <f t="shared" ref="G27:G28" si="24">E27+F27</f>
        <v>0</v>
      </c>
      <c r="H27" s="2404">
        <f>+D27*G27/1000</f>
        <v>0</v>
      </c>
      <c r="L27" s="1719"/>
      <c r="M27" s="824"/>
      <c r="N27" s="824"/>
      <c r="O27" s="824"/>
      <c r="P27" s="824"/>
      <c r="Q27" s="824"/>
      <c r="R27" s="1720"/>
    </row>
    <row r="28" spans="1:18" s="1705" customFormat="1" ht="21" customHeight="1">
      <c r="A28" s="1706"/>
      <c r="B28" s="1714">
        <f t="shared" si="22"/>
        <v>0</v>
      </c>
      <c r="C28" s="1707"/>
      <c r="D28" s="1708"/>
      <c r="E28" s="1714">
        <f>+B28*C28</f>
        <v>0</v>
      </c>
      <c r="F28" s="2403">
        <f t="shared" si="23"/>
        <v>0</v>
      </c>
      <c r="G28" s="2403">
        <f t="shared" si="24"/>
        <v>0</v>
      </c>
      <c r="H28" s="2404">
        <f>+D28*G28/1000</f>
        <v>0</v>
      </c>
      <c r="L28" s="1719"/>
      <c r="M28" s="824"/>
      <c r="N28" s="824"/>
      <c r="O28" s="824"/>
      <c r="P28" s="824"/>
      <c r="Q28" s="824"/>
      <c r="R28" s="1720"/>
    </row>
    <row r="29" spans="1:18" s="1705" customFormat="1" ht="21" customHeight="1" thickBot="1">
      <c r="A29" s="1715" t="s">
        <v>70</v>
      </c>
      <c r="B29" s="2406" t="s">
        <v>221</v>
      </c>
      <c r="C29" s="2406">
        <f>SUM(C26:C28)</f>
        <v>0</v>
      </c>
      <c r="D29" s="2406" t="s">
        <v>221</v>
      </c>
      <c r="E29" s="2406">
        <f>SUM(E26:E28)</f>
        <v>0</v>
      </c>
      <c r="F29" s="2406">
        <f t="shared" ref="F29" si="25">SUM(F26:F28)</f>
        <v>0</v>
      </c>
      <c r="G29" s="2406">
        <f t="shared" ref="G29" si="26">SUM(G26:G28)</f>
        <v>0</v>
      </c>
      <c r="H29" s="2408">
        <f>SUM(H26:H28)</f>
        <v>0</v>
      </c>
      <c r="L29" s="1719"/>
      <c r="M29" s="824"/>
      <c r="N29" s="824"/>
      <c r="O29" s="824"/>
      <c r="P29" s="824"/>
      <c r="Q29" s="824"/>
      <c r="R29" s="1720"/>
    </row>
    <row r="30" spans="1:18" s="1705" customFormat="1" ht="18.75" customHeight="1">
      <c r="A30" s="2414" t="s">
        <v>669</v>
      </c>
      <c r="B30" s="2415"/>
      <c r="C30" s="2415"/>
      <c r="D30" s="2415"/>
      <c r="E30" s="2415"/>
      <c r="F30" s="2415"/>
      <c r="G30" s="2415"/>
      <c r="H30" s="2416"/>
      <c r="L30" s="1719"/>
      <c r="M30" s="824"/>
      <c r="N30" s="824"/>
      <c r="O30" s="824"/>
      <c r="P30" s="824"/>
      <c r="Q30" s="824"/>
      <c r="R30" s="1720"/>
    </row>
    <row r="31" spans="1:18" s="1705" customFormat="1" ht="21" customHeight="1">
      <c r="A31" s="1721"/>
      <c r="B31" s="1714">
        <f t="shared" ref="B31:B33" si="27">B26*(1+C$3)</f>
        <v>0</v>
      </c>
      <c r="C31" s="1707"/>
      <c r="D31" s="1708"/>
      <c r="E31" s="1714">
        <f t="shared" ref="E31:E33" si="28">+B31*C31</f>
        <v>0</v>
      </c>
      <c r="F31" s="2403">
        <f>IF(C31&gt;0,$H$3*$B$36%+(B31-$H$3)*(15+$D$36)%,0)*C31</f>
        <v>0</v>
      </c>
      <c r="G31" s="2403">
        <f>E31+F31</f>
        <v>0</v>
      </c>
      <c r="H31" s="1013">
        <f t="shared" ref="H31:H33" si="29">+D31*G31/1000</f>
        <v>0</v>
      </c>
      <c r="L31" s="1719"/>
      <c r="M31" s="824"/>
      <c r="N31" s="824"/>
      <c r="O31" s="824"/>
      <c r="P31" s="824"/>
      <c r="Q31" s="824"/>
      <c r="R31" s="1720"/>
    </row>
    <row r="32" spans="1:18" s="1705" customFormat="1" ht="21" customHeight="1">
      <c r="A32" s="1721"/>
      <c r="B32" s="1714">
        <f t="shared" si="27"/>
        <v>0</v>
      </c>
      <c r="C32" s="1707"/>
      <c r="D32" s="1708"/>
      <c r="E32" s="1714">
        <f>+B32*C32</f>
        <v>0</v>
      </c>
      <c r="F32" s="2403">
        <f t="shared" ref="F32:F33" si="30">IF(C32&gt;0,$H$3*$B$36%+(B32-$H$3)*(15+$D$36)%,0)*C32</f>
        <v>0</v>
      </c>
      <c r="G32" s="2403">
        <f t="shared" ref="G32:G33" si="31">E32+F32</f>
        <v>0</v>
      </c>
      <c r="H32" s="1013">
        <f t="shared" si="29"/>
        <v>0</v>
      </c>
      <c r="L32" s="1719"/>
      <c r="M32" s="824"/>
      <c r="N32" s="824"/>
      <c r="O32" s="824"/>
      <c r="P32" s="824"/>
      <c r="Q32" s="824"/>
      <c r="R32" s="1720"/>
    </row>
    <row r="33" spans="1:18" s="1705" customFormat="1" ht="21" customHeight="1">
      <c r="A33" s="1721"/>
      <c r="B33" s="1714">
        <f t="shared" si="27"/>
        <v>0</v>
      </c>
      <c r="C33" s="1707"/>
      <c r="D33" s="1708"/>
      <c r="E33" s="1714">
        <f t="shared" si="28"/>
        <v>0</v>
      </c>
      <c r="F33" s="2403">
        <f t="shared" si="30"/>
        <v>0</v>
      </c>
      <c r="G33" s="2403">
        <f t="shared" si="31"/>
        <v>0</v>
      </c>
      <c r="H33" s="1013">
        <f t="shared" si="29"/>
        <v>0</v>
      </c>
      <c r="L33" s="1719"/>
      <c r="M33" s="824"/>
      <c r="N33" s="824"/>
      <c r="O33" s="824"/>
      <c r="P33" s="824"/>
      <c r="Q33" s="824"/>
      <c r="R33" s="1720"/>
    </row>
    <row r="34" spans="1:18" s="1705" customFormat="1" ht="21" customHeight="1" thickBot="1">
      <c r="A34" s="1002" t="s">
        <v>70</v>
      </c>
      <c r="B34" s="1714" t="s">
        <v>221</v>
      </c>
      <c r="C34" s="1714">
        <f>SUM(C31:C33)</f>
        <v>0</v>
      </c>
      <c r="D34" s="1714" t="s">
        <v>221</v>
      </c>
      <c r="E34" s="1714">
        <f>SUM(E31:E33)</f>
        <v>0</v>
      </c>
      <c r="F34" s="2406">
        <f t="shared" ref="F34" si="32">SUM(F31:F33)</f>
        <v>0</v>
      </c>
      <c r="G34" s="2406">
        <f t="shared" ref="G34" si="33">SUM(G31:G33)</f>
        <v>0</v>
      </c>
      <c r="H34" s="1012">
        <f>SUM(H31:H33)</f>
        <v>0</v>
      </c>
      <c r="L34" s="1719"/>
      <c r="M34" s="824"/>
      <c r="N34" s="824"/>
      <c r="O34" s="824"/>
      <c r="P34" s="824"/>
      <c r="Q34" s="824"/>
      <c r="R34" s="1720"/>
    </row>
    <row r="35" spans="1:18" s="1705" customFormat="1" ht="23.25" customHeight="1">
      <c r="A35" s="2420" t="s">
        <v>88</v>
      </c>
      <c r="B35" s="2421"/>
      <c r="C35" s="2421"/>
      <c r="D35" s="2421"/>
      <c r="E35" s="2421"/>
      <c r="F35" s="2421"/>
      <c r="G35" s="2421"/>
      <c r="H35" s="124"/>
    </row>
    <row r="36" spans="1:18" s="1705" customFormat="1" ht="50.25" customHeight="1">
      <c r="A36" s="1722" t="s">
        <v>771</v>
      </c>
      <c r="B36" s="1723">
        <v>32.5</v>
      </c>
      <c r="C36" s="1722" t="s">
        <v>770</v>
      </c>
      <c r="D36" s="2402">
        <v>2.5</v>
      </c>
      <c r="E36" s="1724"/>
      <c r="F36" s="1724"/>
      <c r="G36" s="1724"/>
      <c r="H36" s="1724"/>
    </row>
  </sheetData>
  <mergeCells count="16">
    <mergeCell ref="A25:H25"/>
    <mergeCell ref="A30:H30"/>
    <mergeCell ref="A35:G35"/>
    <mergeCell ref="N11:O11"/>
    <mergeCell ref="P11:Q11"/>
    <mergeCell ref="R11:S11"/>
    <mergeCell ref="M13:N13"/>
    <mergeCell ref="A15:H15"/>
    <mergeCell ref="A20:H20"/>
    <mergeCell ref="A2:H2"/>
    <mergeCell ref="A5:H5"/>
    <mergeCell ref="N5:O5"/>
    <mergeCell ref="P5:Q5"/>
    <mergeCell ref="R5:S5"/>
    <mergeCell ref="A10:H10"/>
    <mergeCell ref="F3:G3"/>
  </mergeCells>
  <conditionalFormatting sqref="A10:A14 L20:R34 A4:A5 B4:H4 A6:H9 B11:H14 A16:H19 A21:H24 A26:H29 A31:H36">
    <cfRule type="cellIs" dxfId="17" priority="5" operator="equal">
      <formula>0</formula>
    </cfRule>
  </conditionalFormatting>
  <conditionalFormatting sqref="A15">
    <cfRule type="cellIs" dxfId="16" priority="4" operator="equal">
      <formula>0</formula>
    </cfRule>
  </conditionalFormatting>
  <conditionalFormatting sqref="A20">
    <cfRule type="cellIs" dxfId="15" priority="3" operator="equal">
      <formula>0</formula>
    </cfRule>
  </conditionalFormatting>
  <conditionalFormatting sqref="A25">
    <cfRule type="cellIs" dxfId="14" priority="2" operator="equal">
      <formula>0</formula>
    </cfRule>
  </conditionalFormatting>
  <conditionalFormatting sqref="A30">
    <cfRule type="cellIs" dxfId="13" priority="1" operator="equal">
      <formula>0</formula>
    </cfRule>
  </conditionalFormatting>
  <printOptions horizontalCentered="1"/>
  <pageMargins left="0.78740157480314965" right="0.39370078740157483" top="0.78740157480314965" bottom="0.78740157480314965" header="0.31496062992125984" footer="0.31496062992125984"/>
  <pageSetup paperSize="9" scale="81"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zoomScale="70" zoomScaleNormal="70" workbookViewId="0">
      <selection activeCell="K12" sqref="K12"/>
    </sheetView>
  </sheetViews>
  <sheetFormatPr defaultColWidth="8.85546875" defaultRowHeight="12.75"/>
  <cols>
    <col min="1" max="1" width="7.85546875" style="632" customWidth="1"/>
    <col min="2" max="2" width="44" style="618" customWidth="1"/>
    <col min="3" max="8" width="11.7109375" style="618" customWidth="1"/>
    <col min="9" max="9" width="3.5703125" style="618" customWidth="1"/>
    <col min="10" max="10" width="13.7109375" style="618" customWidth="1"/>
    <col min="11" max="11" width="38.5703125" style="618" customWidth="1"/>
    <col min="12" max="16384" width="8.85546875" style="618"/>
  </cols>
  <sheetData>
    <row r="1" spans="1:10" ht="18.75">
      <c r="H1" s="1292"/>
    </row>
    <row r="2" spans="1:10" ht="21.75" customHeight="1">
      <c r="A2" s="2166" t="s">
        <v>693</v>
      </c>
      <c r="B2" s="2166"/>
      <c r="C2" s="2166"/>
      <c r="D2" s="2166"/>
      <c r="E2" s="2166"/>
      <c r="F2" s="2166"/>
      <c r="G2" s="2166"/>
      <c r="H2" s="2166"/>
    </row>
    <row r="3" spans="1:10" ht="15" customHeight="1">
      <c r="A3" s="2167" t="s">
        <v>694</v>
      </c>
      <c r="B3" s="2167" t="s">
        <v>695</v>
      </c>
      <c r="C3" s="2168">
        <v>2020</v>
      </c>
      <c r="D3" s="2168">
        <v>2021</v>
      </c>
      <c r="E3" s="2168">
        <v>2022</v>
      </c>
      <c r="F3" s="2168">
        <v>2023</v>
      </c>
      <c r="G3" s="2168">
        <v>2024</v>
      </c>
      <c r="H3" s="2168">
        <v>2025</v>
      </c>
    </row>
    <row r="4" spans="1:10" ht="13.5" customHeight="1">
      <c r="A4" s="2167"/>
      <c r="B4" s="2167"/>
      <c r="C4" s="2168"/>
      <c r="D4" s="2168">
        <f>C3+1</f>
        <v>2021</v>
      </c>
      <c r="E4" s="2168">
        <f t="shared" ref="E4:H4" si="0">D3+1</f>
        <v>2022</v>
      </c>
      <c r="F4" s="2168">
        <f t="shared" si="0"/>
        <v>2023</v>
      </c>
      <c r="G4" s="2168">
        <f t="shared" si="0"/>
        <v>2024</v>
      </c>
      <c r="H4" s="2168">
        <f t="shared" si="0"/>
        <v>2025</v>
      </c>
    </row>
    <row r="5" spans="1:10" ht="19.5" customHeight="1">
      <c r="A5" s="1725" t="s">
        <v>118</v>
      </c>
      <c r="B5" s="1726" t="s">
        <v>696</v>
      </c>
      <c r="C5" s="1727">
        <f>C6+C9</f>
        <v>0</v>
      </c>
      <c r="D5" s="1727">
        <f t="shared" ref="D5:H5" si="1">D6+D9</f>
        <v>0</v>
      </c>
      <c r="E5" s="1727">
        <f t="shared" si="1"/>
        <v>0</v>
      </c>
      <c r="F5" s="1727">
        <f t="shared" si="1"/>
        <v>0</v>
      </c>
      <c r="G5" s="1727">
        <f t="shared" si="1"/>
        <v>0</v>
      </c>
      <c r="H5" s="1727">
        <f t="shared" si="1"/>
        <v>0</v>
      </c>
    </row>
    <row r="6" spans="1:10" ht="37.5" customHeight="1">
      <c r="A6" s="1728" t="s">
        <v>116</v>
      </c>
      <c r="B6" s="1321" t="s">
        <v>697</v>
      </c>
      <c r="C6" s="1493">
        <f>C7+C8</f>
        <v>0</v>
      </c>
      <c r="D6" s="1493">
        <f t="shared" ref="D6:H6" si="2">D7+D8</f>
        <v>0</v>
      </c>
      <c r="E6" s="1493">
        <f t="shared" si="2"/>
        <v>0</v>
      </c>
      <c r="F6" s="1493">
        <f t="shared" si="2"/>
        <v>0</v>
      </c>
      <c r="G6" s="1493">
        <f t="shared" si="2"/>
        <v>0</v>
      </c>
      <c r="H6" s="1493">
        <f t="shared" si="2"/>
        <v>0</v>
      </c>
    </row>
    <row r="7" spans="1:10" ht="19.5" customHeight="1">
      <c r="A7" s="1729" t="s">
        <v>698</v>
      </c>
      <c r="B7" s="1318" t="s">
        <v>713</v>
      </c>
      <c r="C7" s="1489">
        <f>ПрСбытПрП!C13</f>
        <v>0</v>
      </c>
      <c r="D7" s="1489">
        <f>ПрСбытПрП!D13</f>
        <v>0</v>
      </c>
      <c r="E7" s="1489">
        <f>ПрСбытПрП!E13</f>
        <v>0</v>
      </c>
      <c r="F7" s="1489">
        <f>ПрСбытПрП!F13</f>
        <v>0</v>
      </c>
      <c r="G7" s="1489">
        <f>ПрСбытПрП!G13</f>
        <v>0</v>
      </c>
      <c r="H7" s="1489">
        <f>ПрСбытПрП!H13</f>
        <v>0</v>
      </c>
    </row>
    <row r="8" spans="1:10" ht="19.5" customHeight="1">
      <c r="A8" s="1729" t="s">
        <v>715</v>
      </c>
      <c r="B8" s="1318" t="s">
        <v>714</v>
      </c>
      <c r="C8" s="1828"/>
      <c r="D8" s="1828"/>
      <c r="E8" s="1828"/>
      <c r="F8" s="1828"/>
      <c r="G8" s="1828"/>
      <c r="H8" s="1828"/>
    </row>
    <row r="9" spans="1:10" ht="19.5" customHeight="1">
      <c r="A9" s="1729" t="s">
        <v>360</v>
      </c>
      <c r="B9" s="1318" t="s">
        <v>716</v>
      </c>
      <c r="C9" s="1828"/>
      <c r="D9" s="1828"/>
      <c r="E9" s="1828"/>
      <c r="F9" s="1828"/>
      <c r="G9" s="1828"/>
      <c r="H9" s="1828"/>
    </row>
    <row r="10" spans="1:10" ht="19.5" customHeight="1">
      <c r="A10" s="1730" t="s">
        <v>117</v>
      </c>
      <c r="B10" s="1731" t="s">
        <v>718</v>
      </c>
      <c r="C10" s="1732">
        <f>C11+C14</f>
        <v>0</v>
      </c>
      <c r="D10" s="1732">
        <f>D11+D14</f>
        <v>0</v>
      </c>
      <c r="E10" s="1732">
        <f>E11+E14</f>
        <v>0</v>
      </c>
      <c r="F10" s="1732">
        <f>F11+F14</f>
        <v>0</v>
      </c>
      <c r="G10" s="1732">
        <f>G11+G14</f>
        <v>0</v>
      </c>
      <c r="H10" s="1732">
        <f>H11+H14</f>
        <v>0</v>
      </c>
    </row>
    <row r="11" spans="1:10" ht="19.5" customHeight="1">
      <c r="A11" s="1733" t="s">
        <v>365</v>
      </c>
      <c r="B11" s="1321" t="s">
        <v>699</v>
      </c>
      <c r="C11" s="1493">
        <f>C12+C13</f>
        <v>0</v>
      </c>
      <c r="D11" s="1493">
        <f t="shared" ref="D11:H11" si="3">D12+D13</f>
        <v>0</v>
      </c>
      <c r="E11" s="1493">
        <f t="shared" si="3"/>
        <v>0</v>
      </c>
      <c r="F11" s="1493">
        <f t="shared" si="3"/>
        <v>0</v>
      </c>
      <c r="G11" s="1493">
        <f t="shared" si="3"/>
        <v>0</v>
      </c>
      <c r="H11" s="1493">
        <f t="shared" si="3"/>
        <v>0</v>
      </c>
    </row>
    <row r="12" spans="1:10" ht="19.5" customHeight="1">
      <c r="A12" s="1734" t="s">
        <v>367</v>
      </c>
      <c r="B12" s="1318" t="s">
        <v>713</v>
      </c>
      <c r="C12" s="1489">
        <f>ТРП!B10</f>
        <v>0</v>
      </c>
      <c r="D12" s="1489">
        <f>ТРП!C10</f>
        <v>0</v>
      </c>
      <c r="E12" s="1489">
        <f>ТРП!D10</f>
        <v>0</v>
      </c>
      <c r="F12" s="1489">
        <f>ТРП!E10</f>
        <v>0</v>
      </c>
      <c r="G12" s="1489">
        <f>ТРП!F10</f>
        <v>0</v>
      </c>
      <c r="H12" s="1489">
        <f>ТРП!G10</f>
        <v>0</v>
      </c>
    </row>
    <row r="13" spans="1:10" ht="19.5" customHeight="1">
      <c r="A13" s="1734" t="s">
        <v>370</v>
      </c>
      <c r="B13" s="1318" t="s">
        <v>714</v>
      </c>
      <c r="C13" s="1828"/>
      <c r="D13" s="1828"/>
      <c r="E13" s="1828"/>
      <c r="F13" s="1828"/>
      <c r="G13" s="1828"/>
      <c r="H13" s="1828"/>
    </row>
    <row r="14" spans="1:10" ht="19.5" customHeight="1">
      <c r="A14" s="1735" t="s">
        <v>378</v>
      </c>
      <c r="B14" s="1736" t="s">
        <v>700</v>
      </c>
      <c r="C14" s="1737">
        <f>SUM(C15:C17)</f>
        <v>0</v>
      </c>
      <c r="D14" s="1737">
        <f t="shared" ref="D14:H14" si="4">SUM(D15:D17)</f>
        <v>0</v>
      </c>
      <c r="E14" s="1737">
        <f t="shared" si="4"/>
        <v>0</v>
      </c>
      <c r="F14" s="1737">
        <f t="shared" si="4"/>
        <v>0</v>
      </c>
      <c r="G14" s="1737">
        <f t="shared" si="4"/>
        <v>0</v>
      </c>
      <c r="H14" s="1737">
        <f t="shared" si="4"/>
        <v>0</v>
      </c>
    </row>
    <row r="15" spans="1:10" s="1740" customFormat="1" ht="19.5" customHeight="1">
      <c r="A15" s="1738" t="s">
        <v>701</v>
      </c>
      <c r="B15" s="1318" t="s">
        <v>739</v>
      </c>
      <c r="C15" s="1741"/>
      <c r="D15" s="1741"/>
      <c r="E15" s="1741"/>
      <c r="F15" s="1741"/>
      <c r="G15" s="1741"/>
      <c r="H15" s="1741"/>
    </row>
    <row r="16" spans="1:10" ht="19.5" customHeight="1">
      <c r="A16" s="1734" t="s">
        <v>702</v>
      </c>
      <c r="B16" s="1318" t="s">
        <v>740</v>
      </c>
      <c r="C16" s="1741"/>
      <c r="D16" s="1741"/>
      <c r="E16" s="1741"/>
      <c r="F16" s="1741"/>
      <c r="G16" s="1741"/>
      <c r="H16" s="1741"/>
      <c r="J16" s="618" t="s">
        <v>703</v>
      </c>
    </row>
    <row r="17" spans="1:11" ht="19.5" customHeight="1">
      <c r="A17" s="1734" t="s">
        <v>704</v>
      </c>
      <c r="B17" s="1318" t="s">
        <v>777</v>
      </c>
      <c r="C17" s="1741"/>
      <c r="D17" s="1741"/>
      <c r="E17" s="1741"/>
      <c r="F17" s="1741"/>
      <c r="G17" s="1741"/>
      <c r="H17" s="1741"/>
    </row>
    <row r="18" spans="1:11" ht="19.5" customHeight="1">
      <c r="A18" s="1733" t="s">
        <v>599</v>
      </c>
      <c r="B18" s="1321" t="s">
        <v>626</v>
      </c>
      <c r="C18" s="1493">
        <f>C19+C20</f>
        <v>0</v>
      </c>
      <c r="D18" s="1493">
        <f t="shared" ref="D18:H18" si="5">D19+D20</f>
        <v>0</v>
      </c>
      <c r="E18" s="1493">
        <f t="shared" si="5"/>
        <v>0</v>
      </c>
      <c r="F18" s="1493">
        <f t="shared" si="5"/>
        <v>0</v>
      </c>
      <c r="G18" s="1493">
        <f t="shared" si="5"/>
        <v>0</v>
      </c>
      <c r="H18" s="1493">
        <f t="shared" si="5"/>
        <v>0</v>
      </c>
    </row>
    <row r="19" spans="1:11" ht="19.5" customHeight="1">
      <c r="A19" s="1734" t="s">
        <v>705</v>
      </c>
      <c r="B19" s="1318" t="s">
        <v>706</v>
      </c>
      <c r="C19" s="1739">
        <f>'6.Кред'!H15</f>
        <v>0</v>
      </c>
      <c r="D19" s="1739">
        <f>'6.Кред'!H27</f>
        <v>0</v>
      </c>
      <c r="E19" s="1739">
        <f>'6.Кред'!H39</f>
        <v>0</v>
      </c>
      <c r="F19" s="1739">
        <f>'6.Кред'!H51</f>
        <v>0</v>
      </c>
      <c r="G19" s="1739">
        <f>'6.Кред'!H63</f>
        <v>0</v>
      </c>
      <c r="H19" s="1739">
        <f>'6.Кред'!H65</f>
        <v>0</v>
      </c>
    </row>
    <row r="20" spans="1:11" ht="19.5" customHeight="1">
      <c r="A20" s="1734" t="s">
        <v>707</v>
      </c>
      <c r="B20" s="1318" t="s">
        <v>418</v>
      </c>
      <c r="C20" s="1489">
        <f>40.874*$J20</f>
        <v>0</v>
      </c>
      <c r="D20" s="1489">
        <f t="shared" ref="D20:H20" si="6">40.874*$J20</f>
        <v>0</v>
      </c>
      <c r="E20" s="1489">
        <f t="shared" si="6"/>
        <v>0</v>
      </c>
      <c r="F20" s="1489">
        <f t="shared" si="6"/>
        <v>0</v>
      </c>
      <c r="G20" s="1489">
        <f t="shared" si="6"/>
        <v>0</v>
      </c>
      <c r="H20" s="1489">
        <f t="shared" si="6"/>
        <v>0</v>
      </c>
      <c r="J20" s="1742"/>
      <c r="K20" s="1318" t="s">
        <v>708</v>
      </c>
    </row>
    <row r="21" spans="1:11" ht="19.5" customHeight="1">
      <c r="A21" s="1735" t="s">
        <v>123</v>
      </c>
      <c r="B21" s="1736" t="s">
        <v>709</v>
      </c>
      <c r="C21" s="1737">
        <f>C5-C10-C18</f>
        <v>0</v>
      </c>
      <c r="D21" s="1737">
        <f t="shared" ref="D21:H21" si="7">D5-D10-D18</f>
        <v>0</v>
      </c>
      <c r="E21" s="1737">
        <f t="shared" si="7"/>
        <v>0</v>
      </c>
      <c r="F21" s="1737">
        <f t="shared" si="7"/>
        <v>0</v>
      </c>
      <c r="G21" s="1737">
        <f t="shared" si="7"/>
        <v>0</v>
      </c>
      <c r="H21" s="1737">
        <f t="shared" si="7"/>
        <v>0</v>
      </c>
      <c r="J21" s="1743" t="s">
        <v>710</v>
      </c>
    </row>
    <row r="22" spans="1:11" ht="19.5" customHeight="1" thickBot="1">
      <c r="A22" s="1744" t="s">
        <v>128</v>
      </c>
      <c r="B22" s="1322" t="s">
        <v>371</v>
      </c>
      <c r="C22" s="1495">
        <f>IF(C21&gt;0,C21*6%,0)</f>
        <v>0</v>
      </c>
      <c r="D22" s="1495">
        <f t="shared" ref="D22:H22" si="8">IF(D21&gt;0,D21*6%,0)</f>
        <v>0</v>
      </c>
      <c r="E22" s="1495">
        <f t="shared" si="8"/>
        <v>0</v>
      </c>
      <c r="F22" s="1495">
        <f t="shared" si="8"/>
        <v>0</v>
      </c>
      <c r="G22" s="1495">
        <f t="shared" si="8"/>
        <v>0</v>
      </c>
      <c r="H22" s="1495">
        <f t="shared" si="8"/>
        <v>0</v>
      </c>
    </row>
    <row r="23" spans="1:11" ht="19.5" customHeight="1" thickBot="1">
      <c r="A23" s="1745" t="s">
        <v>380</v>
      </c>
      <c r="B23" s="1323" t="s">
        <v>717</v>
      </c>
      <c r="C23" s="1496">
        <f>C21-C22</f>
        <v>0</v>
      </c>
      <c r="D23" s="1496">
        <f t="shared" ref="D23:H23" si="9">+D21-D22</f>
        <v>0</v>
      </c>
      <c r="E23" s="1496">
        <f t="shared" si="9"/>
        <v>0</v>
      </c>
      <c r="F23" s="1496">
        <f t="shared" si="9"/>
        <v>0</v>
      </c>
      <c r="G23" s="1496">
        <f t="shared" si="9"/>
        <v>0</v>
      </c>
      <c r="H23" s="1496">
        <f t="shared" si="9"/>
        <v>0</v>
      </c>
    </row>
    <row r="24" spans="1:11" ht="13.5" thickBot="1">
      <c r="A24" s="1746"/>
      <c r="B24" s="1747"/>
      <c r="C24" s="1748"/>
      <c r="D24" s="1748"/>
      <c r="E24" s="1748"/>
      <c r="F24" s="1748"/>
      <c r="G24" s="1748"/>
      <c r="H24" s="1748"/>
    </row>
    <row r="25" spans="1:11" ht="19.5" customHeight="1">
      <c r="A25" s="1749" t="s">
        <v>381</v>
      </c>
      <c r="B25" s="1750" t="s">
        <v>382</v>
      </c>
      <c r="C25" s="1751">
        <v>1</v>
      </c>
      <c r="D25" s="1751">
        <f t="shared" ref="D25:H25" si="10">C25+1</f>
        <v>2</v>
      </c>
      <c r="E25" s="1751">
        <f t="shared" si="10"/>
        <v>3</v>
      </c>
      <c r="F25" s="1751">
        <f t="shared" si="10"/>
        <v>4</v>
      </c>
      <c r="G25" s="1751">
        <f t="shared" si="10"/>
        <v>5</v>
      </c>
      <c r="H25" s="1751">
        <f t="shared" si="10"/>
        <v>6</v>
      </c>
      <c r="I25" s="622"/>
    </row>
    <row r="26" spans="1:11" s="625" customFormat="1" ht="19.5" customHeight="1">
      <c r="A26" s="1752" t="s">
        <v>118</v>
      </c>
      <c r="B26" s="623" t="s">
        <v>711</v>
      </c>
      <c r="C26" s="1500">
        <f>План!D14</f>
        <v>0</v>
      </c>
      <c r="D26" s="1500"/>
      <c r="E26" s="1500"/>
      <c r="F26" s="1500"/>
      <c r="G26" s="1500"/>
      <c r="H26" s="1500"/>
      <c r="I26" s="624"/>
    </row>
    <row r="27" spans="1:11" s="625" customFormat="1" ht="19.5" customHeight="1">
      <c r="A27" s="1752" t="s">
        <v>117</v>
      </c>
      <c r="B27" s="623" t="s">
        <v>712</v>
      </c>
      <c r="C27" s="1500">
        <f>C23</f>
        <v>0</v>
      </c>
      <c r="D27" s="1500">
        <f>C27+D23</f>
        <v>0</v>
      </c>
      <c r="E27" s="1500">
        <f>D27+E23</f>
        <v>0</v>
      </c>
      <c r="F27" s="1500">
        <f>E27+F23</f>
        <v>0</v>
      </c>
      <c r="G27" s="1500">
        <f>F27+G23</f>
        <v>0</v>
      </c>
      <c r="H27" s="1500">
        <f>G27+H23</f>
        <v>0</v>
      </c>
      <c r="I27" s="624"/>
    </row>
    <row r="28" spans="1:11" s="625" customFormat="1" ht="19.5" customHeight="1">
      <c r="A28" s="1752" t="s">
        <v>123</v>
      </c>
      <c r="B28" s="623" t="s">
        <v>773</v>
      </c>
      <c r="C28" s="1500">
        <f>C27-C26</f>
        <v>0</v>
      </c>
      <c r="D28" s="1500">
        <f t="shared" ref="D28:H28" si="11">D27-D26</f>
        <v>0</v>
      </c>
      <c r="E28" s="1500">
        <f t="shared" si="11"/>
        <v>0</v>
      </c>
      <c r="F28" s="1500">
        <f t="shared" si="11"/>
        <v>0</v>
      </c>
      <c r="G28" s="1500">
        <f t="shared" si="11"/>
        <v>0</v>
      </c>
      <c r="H28" s="1500">
        <f t="shared" si="11"/>
        <v>0</v>
      </c>
      <c r="I28" s="624"/>
    </row>
    <row r="29" spans="1:11" s="620" customFormat="1" ht="19.5" customHeight="1" thickBot="1">
      <c r="A29" s="1753" t="s">
        <v>128</v>
      </c>
      <c r="B29" s="1754" t="s">
        <v>384</v>
      </c>
      <c r="C29" s="1755"/>
      <c r="D29" s="1755">
        <f>IF(D28=0,D25,IF(AND(C28&lt;0,D28&gt;0),D25-D28/(D28-C28),0))</f>
        <v>2</v>
      </c>
      <c r="E29" s="1755">
        <f t="shared" ref="E29:H29" si="12">IF(E28=0,E25,IF(AND(D28&lt;0,E28&gt;0),E25-E28/(E28-D28),0))</f>
        <v>3</v>
      </c>
      <c r="F29" s="1755">
        <f t="shared" si="12"/>
        <v>4</v>
      </c>
      <c r="G29" s="1755">
        <f t="shared" si="12"/>
        <v>5</v>
      </c>
      <c r="H29" s="1755">
        <f t="shared" si="12"/>
        <v>6</v>
      </c>
      <c r="I29" s="626"/>
    </row>
    <row r="30" spans="1:11" ht="7.5" customHeight="1" thickTop="1">
      <c r="A30" s="631"/>
      <c r="B30" s="622"/>
      <c r="C30" s="622"/>
      <c r="D30" s="622"/>
      <c r="E30" s="622"/>
      <c r="F30" s="622"/>
      <c r="G30" s="622"/>
      <c r="H30" s="622"/>
      <c r="I30" s="622"/>
    </row>
    <row r="31" spans="1:11" ht="12.75" customHeight="1"/>
    <row r="32" spans="1:11" ht="12.75" customHeight="1"/>
    <row r="33" spans="1:8" ht="12.75" customHeight="1"/>
    <row r="34" spans="1:8" ht="12.75" customHeight="1"/>
    <row r="35" spans="1:8" ht="12.75" customHeight="1"/>
    <row r="36" spans="1:8" ht="12.75" customHeight="1">
      <c r="D36" s="864"/>
    </row>
    <row r="37" spans="1:8" ht="12.75" customHeight="1">
      <c r="C37" s="864"/>
      <c r="D37" s="864"/>
    </row>
    <row r="38" spans="1:8" ht="12.75" customHeight="1">
      <c r="A38" s="863"/>
    </row>
    <row r="39" spans="1:8" ht="12.75" customHeight="1">
      <c r="A39" s="863"/>
      <c r="C39" s="864"/>
      <c r="D39" s="864"/>
      <c r="E39" s="864"/>
      <c r="F39" s="864"/>
      <c r="G39" s="864"/>
      <c r="H39" s="864"/>
    </row>
    <row r="40" spans="1:8">
      <c r="A40" s="863"/>
      <c r="C40" s="864"/>
    </row>
    <row r="42" spans="1:8" ht="15.75">
      <c r="B42" s="1756" t="s">
        <v>691</v>
      </c>
    </row>
  </sheetData>
  <mergeCells count="9">
    <mergeCell ref="A2:H2"/>
    <mergeCell ref="A3:A4"/>
    <mergeCell ref="B3:B4"/>
    <mergeCell ref="C3:C4"/>
    <mergeCell ref="D3:D4"/>
    <mergeCell ref="E3:E4"/>
    <mergeCell ref="F3:F4"/>
    <mergeCell ref="G3:G4"/>
    <mergeCell ref="H3:H4"/>
  </mergeCells>
  <conditionalFormatting sqref="C3 C5:H5 C7:H29">
    <cfRule type="cellIs" dxfId="12" priority="3" operator="equal">
      <formula>0</formula>
    </cfRule>
  </conditionalFormatting>
  <conditionalFormatting sqref="C6:H6">
    <cfRule type="cellIs" dxfId="11" priority="2" operator="equal">
      <formula>0</formula>
    </cfRule>
  </conditionalFormatting>
  <conditionalFormatting sqref="D3:H3">
    <cfRule type="cellIs" dxfId="10" priority="1" operator="equal">
      <formula>0</formula>
    </cfRule>
  </conditionalFormatting>
  <printOptions horizontalCentered="1"/>
  <pageMargins left="0.78740157480314965" right="0.39370078740157483" top="0.78740157480314965" bottom="0.78740157480314965" header="0.31496062992125984" footer="0.31496062992125984"/>
  <pageSetup paperSize="9"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44"/>
  <sheetViews>
    <sheetView view="pageBreakPreview" zoomScale="90" zoomScaleNormal="100" zoomScaleSheetLayoutView="90" workbookViewId="0">
      <pane xSplit="2" ySplit="5" topLeftCell="C6" activePane="bottomRight" state="frozen"/>
      <selection pane="topRight" activeCell="B1" sqref="B1"/>
      <selection pane="bottomLeft" activeCell="A6" sqref="A6"/>
      <selection pane="bottomRight" activeCell="I19" sqref="I19"/>
    </sheetView>
  </sheetViews>
  <sheetFormatPr defaultRowHeight="15.75" outlineLevelRow="1"/>
  <cols>
    <col min="1" max="1" width="4.42578125" customWidth="1"/>
    <col min="2" max="2" width="47" style="9" customWidth="1"/>
    <col min="3" max="3" width="16.140625" style="9" customWidth="1"/>
    <col min="4" max="5" width="16.140625" style="1" customWidth="1"/>
    <col min="6" max="10" width="16.140625" customWidth="1"/>
    <col min="11" max="11" width="12.140625" bestFit="1" customWidth="1"/>
    <col min="12" max="12" width="13.28515625" bestFit="1" customWidth="1"/>
    <col min="13" max="17" width="12.140625" bestFit="1" customWidth="1"/>
  </cols>
  <sheetData>
    <row r="1" spans="2:17">
      <c r="B1" s="2169"/>
      <c r="C1" s="2169"/>
      <c r="D1" s="2169"/>
      <c r="E1" s="2169"/>
      <c r="F1" s="2169"/>
      <c r="G1" s="2169"/>
      <c r="H1" s="577"/>
      <c r="I1" s="577"/>
      <c r="J1" s="577"/>
    </row>
    <row r="2" spans="2:17" s="5" customFormat="1" ht="16.5" customHeight="1">
      <c r="B2" s="2184" t="s">
        <v>89</v>
      </c>
      <c r="C2" s="2184"/>
      <c r="D2" s="2184"/>
      <c r="E2" s="2184"/>
      <c r="F2" s="2184"/>
      <c r="G2" s="2184"/>
      <c r="H2" s="2184"/>
      <c r="I2" s="2184"/>
      <c r="J2" s="2184"/>
    </row>
    <row r="3" spans="2:17" s="5" customFormat="1" ht="16.5" customHeight="1" thickBot="1">
      <c r="B3" s="1295"/>
      <c r="C3" s="1295"/>
      <c r="D3" s="1295"/>
      <c r="E3" s="1295"/>
      <c r="F3" s="1295"/>
      <c r="G3" s="1295"/>
      <c r="H3" s="1295"/>
      <c r="I3" s="1295"/>
      <c r="J3" s="1296" t="s">
        <v>553</v>
      </c>
    </row>
    <row r="4" spans="2:17" s="5" customFormat="1" ht="18" customHeight="1" thickTop="1">
      <c r="B4" s="2172" t="s">
        <v>173</v>
      </c>
      <c r="C4" s="2185" t="s">
        <v>333</v>
      </c>
      <c r="D4" s="2186"/>
      <c r="E4" s="2186"/>
      <c r="F4" s="2186"/>
      <c r="G4" s="2186"/>
      <c r="H4" s="2186"/>
      <c r="I4" s="2186"/>
      <c r="J4" s="2187"/>
    </row>
    <row r="5" spans="2:17" s="5" customFormat="1" ht="18.75" customHeight="1" thickBot="1">
      <c r="B5" s="2173"/>
      <c r="C5" s="838">
        <v>2019</v>
      </c>
      <c r="D5" s="838">
        <f>C5+1</f>
        <v>2020</v>
      </c>
      <c r="E5" s="838">
        <f>D5+1</f>
        <v>2021</v>
      </c>
      <c r="F5" s="838">
        <f>E5+1</f>
        <v>2022</v>
      </c>
      <c r="G5" s="839">
        <f>F5+1</f>
        <v>2023</v>
      </c>
      <c r="H5" s="839">
        <f t="shared" ref="H5:J5" si="0">G5+1</f>
        <v>2024</v>
      </c>
      <c r="I5" s="839">
        <f t="shared" si="0"/>
        <v>2025</v>
      </c>
      <c r="J5" s="857">
        <f t="shared" si="0"/>
        <v>2026</v>
      </c>
    </row>
    <row r="6" spans="2:17" s="20" customFormat="1" ht="15" customHeight="1">
      <c r="B6" s="830" t="s">
        <v>405</v>
      </c>
      <c r="C6" s="831">
        <f t="shared" ref="C6:J6" si="1">SUM(C7:C13)</f>
        <v>0</v>
      </c>
      <c r="D6" s="831">
        <f t="shared" si="1"/>
        <v>0</v>
      </c>
      <c r="E6" s="831">
        <f t="shared" si="1"/>
        <v>0</v>
      </c>
      <c r="F6" s="831">
        <f t="shared" si="1"/>
        <v>0</v>
      </c>
      <c r="G6" s="831">
        <f t="shared" si="1"/>
        <v>0</v>
      </c>
      <c r="H6" s="831">
        <f t="shared" si="1"/>
        <v>0</v>
      </c>
      <c r="I6" s="831">
        <f t="shared" si="1"/>
        <v>0</v>
      </c>
      <c r="J6" s="833">
        <f t="shared" si="1"/>
        <v>0</v>
      </c>
      <c r="L6" s="2170" t="s">
        <v>77</v>
      </c>
      <c r="M6" s="2170"/>
      <c r="N6" s="2170"/>
      <c r="O6" s="2170"/>
      <c r="P6" s="2170"/>
    </row>
    <row r="7" spans="2:17" s="14" customFormat="1" ht="15" customHeight="1" outlineLevel="1">
      <c r="B7" s="494" t="s">
        <v>368</v>
      </c>
      <c r="C7" s="878"/>
      <c r="D7" s="107"/>
      <c r="E7" s="107"/>
      <c r="F7" s="107"/>
      <c r="G7" s="828"/>
      <c r="H7" s="828"/>
      <c r="I7" s="828"/>
      <c r="J7" s="495"/>
    </row>
    <row r="8" spans="2:17" s="14" customFormat="1" ht="15" customHeight="1" outlineLevel="1">
      <c r="B8" s="494" t="s">
        <v>403</v>
      </c>
      <c r="C8" s="878"/>
      <c r="D8" s="860"/>
      <c r="E8" s="860"/>
      <c r="F8" s="860"/>
      <c r="G8" s="861"/>
      <c r="H8" s="860"/>
      <c r="I8" s="860"/>
      <c r="J8" s="862"/>
    </row>
    <row r="9" spans="2:17" s="14" customFormat="1" ht="15" customHeight="1" outlineLevel="1">
      <c r="B9" s="494" t="s">
        <v>404</v>
      </c>
      <c r="C9" s="878"/>
      <c r="D9" s="107"/>
      <c r="E9" s="107"/>
      <c r="F9" s="107"/>
      <c r="G9" s="107"/>
      <c r="H9" s="107"/>
      <c r="I9" s="107"/>
      <c r="J9" s="495"/>
    </row>
    <row r="10" spans="2:17" s="14" customFormat="1" ht="15" customHeight="1" outlineLevel="1">
      <c r="B10" s="494" t="s">
        <v>190</v>
      </c>
      <c r="C10" s="878"/>
      <c r="D10" s="107"/>
      <c r="E10" s="107"/>
      <c r="F10" s="107"/>
      <c r="G10" s="107"/>
      <c r="H10" s="107"/>
      <c r="I10" s="107"/>
      <c r="J10" s="495"/>
    </row>
    <row r="11" spans="2:17" s="14" customFormat="1" ht="15" customHeight="1" outlineLevel="1">
      <c r="B11" s="494" t="s">
        <v>323</v>
      </c>
      <c r="C11" s="878"/>
      <c r="D11" s="107"/>
      <c r="E11" s="107"/>
      <c r="F11" s="107"/>
      <c r="G11" s="107"/>
      <c r="H11" s="107"/>
      <c r="I11" s="107"/>
      <c r="J11" s="495"/>
    </row>
    <row r="12" spans="2:17" s="14" customFormat="1" ht="15" customHeight="1" outlineLevel="1">
      <c r="B12" s="494" t="s">
        <v>322</v>
      </c>
      <c r="C12" s="879"/>
      <c r="D12" s="109"/>
      <c r="E12" s="109"/>
      <c r="F12" s="109"/>
      <c r="G12" s="109"/>
      <c r="H12" s="109"/>
      <c r="I12" s="109"/>
      <c r="J12" s="497"/>
    </row>
    <row r="13" spans="2:17" s="14" customFormat="1" ht="15" customHeight="1" outlineLevel="1">
      <c r="B13" s="840" t="s">
        <v>598</v>
      </c>
      <c r="C13" s="880"/>
      <c r="D13" s="841"/>
      <c r="E13" s="841"/>
      <c r="F13" s="841"/>
      <c r="G13" s="841"/>
      <c r="H13" s="841"/>
      <c r="I13" s="841"/>
      <c r="J13" s="858"/>
    </row>
    <row r="14" spans="2:17" s="20" customFormat="1" ht="15" customHeight="1">
      <c r="B14" s="830" t="s">
        <v>406</v>
      </c>
      <c r="C14" s="881" t="e">
        <f t="shared" ref="C14:J14" si="2">SUM(C15:C19)</f>
        <v>#REF!</v>
      </c>
      <c r="D14" s="831" t="e">
        <f t="shared" si="2"/>
        <v>#REF!</v>
      </c>
      <c r="E14" s="831" t="e">
        <f t="shared" si="2"/>
        <v>#REF!</v>
      </c>
      <c r="F14" s="831" t="e">
        <f t="shared" si="2"/>
        <v>#REF!</v>
      </c>
      <c r="G14" s="832" t="e">
        <f t="shared" si="2"/>
        <v>#REF!</v>
      </c>
      <c r="H14" s="832" t="e">
        <f t="shared" si="2"/>
        <v>#REF!</v>
      </c>
      <c r="I14" s="832" t="e">
        <f t="shared" si="2"/>
        <v>#REF!</v>
      </c>
      <c r="J14" s="833" t="e">
        <f t="shared" si="2"/>
        <v>#REF!</v>
      </c>
    </row>
    <row r="15" spans="2:17" s="14" customFormat="1" ht="15" customHeight="1" outlineLevel="1">
      <c r="B15" s="494" t="s">
        <v>368</v>
      </c>
      <c r="C15" s="878" t="e">
        <f>+('3 корм ЛОШ'!$N9+'3 корм ЛОШ'!$N11)/(#REF!+#REF!)</f>
        <v>#REF!</v>
      </c>
      <c r="D15" s="878" t="e">
        <f>+('3 корм ЛОШ'!$N29+'3 корм ЛОШ'!$N31)/(#REF!+#REF!)</f>
        <v>#REF!</v>
      </c>
      <c r="E15" s="878" t="e">
        <f>+('3 корм ЛОШ'!$N49+'3 корм ЛОШ'!$N51)/(#REF!+#REF!)</f>
        <v>#REF!</v>
      </c>
      <c r="F15" s="878" t="e">
        <f>+('3 корм ЛОШ'!$N69+'3 корм ЛОШ'!$N71)/(#REF!+#REF!)</f>
        <v>#REF!</v>
      </c>
      <c r="G15" s="878" t="e">
        <f>+('3 корм ЛОШ'!$N89+'3 корм ЛОШ'!$N91)/(#REF!+#REF!)</f>
        <v>#REF!</v>
      </c>
      <c r="H15" s="878" t="e">
        <f>+('3 корм ЛОШ'!$N109+'3 корм ЛОШ'!$N111)/(#REF!+#REF!)</f>
        <v>#REF!</v>
      </c>
      <c r="I15" s="878" t="e">
        <f>+('3 корм ЛОШ'!#REF!+'3 корм ЛОШ'!#REF!)/(#REF!+#REF!)</f>
        <v>#REF!</v>
      </c>
      <c r="J15" s="878" t="e">
        <f>+('3 корм ЛОШ'!#REF!+'3 корм ЛОШ'!#REF!)/(#REF!+#REF!)</f>
        <v>#REF!</v>
      </c>
      <c r="K15" s="1385" t="e">
        <f>+C15*(#REF!+#REF!)</f>
        <v>#REF!</v>
      </c>
      <c r="L15" s="1385" t="e">
        <f>+D15*(#REF!+#REF!)</f>
        <v>#REF!</v>
      </c>
      <c r="M15" s="1385" t="e">
        <f>+E15*(#REF!+#REF!)</f>
        <v>#REF!</v>
      </c>
      <c r="N15" s="1385" t="e">
        <f>+F15*(#REF!+#REF!)</f>
        <v>#REF!</v>
      </c>
      <c r="O15" s="1385" t="e">
        <f>+G15*(#REF!+#REF!)</f>
        <v>#REF!</v>
      </c>
      <c r="P15" s="1385" t="e">
        <f>+H15*(#REF!+#REF!)</f>
        <v>#REF!</v>
      </c>
      <c r="Q15" s="1385" t="e">
        <f>+I15*(#REF!+#REF!)</f>
        <v>#REF!</v>
      </c>
    </row>
    <row r="16" spans="2:17" s="14" customFormat="1" ht="15" customHeight="1" outlineLevel="1">
      <c r="B16" s="494" t="s">
        <v>403</v>
      </c>
      <c r="C16" s="878" t="e">
        <f>+'22.ФОТ'!H6/(#REF!+#REF!)</f>
        <v>#REF!</v>
      </c>
      <c r="D16" s="878" t="e">
        <f>+'22.ФОТ'!N6/(#REF!+#REF!)</f>
        <v>#REF!</v>
      </c>
      <c r="E16" s="878" t="e">
        <f>+'22.ФОТ'!T6/(#REF!+#REF!)</f>
        <v>#REF!</v>
      </c>
      <c r="F16" s="878" t="e">
        <f>+'22.ФОТ'!Z6/(#REF!+#REF!)</f>
        <v>#REF!</v>
      </c>
      <c r="G16" s="878" t="e">
        <f>+'22.ФОТ'!AF6/(#REF!+#REF!)</f>
        <v>#REF!</v>
      </c>
      <c r="H16" s="878" t="e">
        <f>+'22.ФОТ'!H20/(#REF!+#REF!)</f>
        <v>#REF!</v>
      </c>
      <c r="I16" s="878" t="e">
        <f>+'22.ФОТ'!N20/(#REF!+#REF!)</f>
        <v>#REF!</v>
      </c>
      <c r="J16" s="878" t="e">
        <f>+'22.ФОТ'!T20/(#REF!+#REF!)</f>
        <v>#REF!</v>
      </c>
      <c r="K16" s="14" t="e">
        <f>+C16*(#REF!+#REF!)</f>
        <v>#REF!</v>
      </c>
      <c r="L16" s="1385" t="e">
        <f>+D16*(#REF!+#REF!)</f>
        <v>#REF!</v>
      </c>
      <c r="M16" s="1385" t="e">
        <f>+E16*(#REF!+#REF!)</f>
        <v>#REF!</v>
      </c>
      <c r="N16" s="1385" t="e">
        <f>+F16*(#REF!+#REF!)</f>
        <v>#REF!</v>
      </c>
      <c r="O16" s="1385" t="e">
        <f>+G16*(#REF!+#REF!)</f>
        <v>#REF!</v>
      </c>
      <c r="P16" s="1385" t="e">
        <f>+H16*(#REF!+#REF!)</f>
        <v>#REF!</v>
      </c>
      <c r="Q16" s="1385" t="e">
        <f>+I16*(#REF!+#REF!)</f>
        <v>#REF!</v>
      </c>
    </row>
    <row r="17" spans="2:17" s="14" customFormat="1" ht="15" customHeight="1" outlineLevel="1">
      <c r="B17" s="494" t="s">
        <v>404</v>
      </c>
      <c r="C17" s="878" t="e">
        <f>+'4.защ лош'!#REF!/#REF!*#REF!/(#REF!+#REF!)</f>
        <v>#REF!</v>
      </c>
      <c r="D17" s="878" t="e">
        <f>+'4.защ лош'!#REF!/#REF!*#REF!/(#REF!+#REF!)</f>
        <v>#REF!</v>
      </c>
      <c r="E17" s="878" t="e">
        <f>+'4.защ лош'!#REF!/#REF!*#REF!/(#REF!+#REF!)</f>
        <v>#REF!</v>
      </c>
      <c r="F17" s="878" t="e">
        <f>+'4.защ лош'!#REF!/#REF!*#REF!/(#REF!+#REF!)</f>
        <v>#REF!</v>
      </c>
      <c r="G17" s="878" t="e">
        <f>+'4.защ лош'!#REF!/#REF!*#REF!/(#REF!+#REF!)</f>
        <v>#REF!</v>
      </c>
      <c r="H17" s="878" t="e">
        <f>+'4.защ лош'!#REF!/#REF!*#REF!/(#REF!+#REF!)</f>
        <v>#REF!</v>
      </c>
      <c r="I17" s="878" t="e">
        <f>+'4.защ лош'!#REF!/#REF!*#REF!/(#REF!+#REF!)</f>
        <v>#REF!</v>
      </c>
      <c r="J17" s="878" t="e">
        <f>+'4.защ лош'!#REF!/#REF!*#REF!/(#REF!+#REF!)</f>
        <v>#REF!</v>
      </c>
      <c r="K17" s="1385" t="e">
        <f>+C17*(#REF!+#REF!)</f>
        <v>#REF!</v>
      </c>
      <c r="L17" s="1385" t="e">
        <f>+D17*(#REF!+#REF!)</f>
        <v>#REF!</v>
      </c>
      <c r="M17" s="1385" t="e">
        <f>+E17*(#REF!+#REF!)</f>
        <v>#REF!</v>
      </c>
      <c r="N17" s="1385" t="e">
        <f>+F17*(#REF!+#REF!)</f>
        <v>#REF!</v>
      </c>
      <c r="O17" s="1385" t="e">
        <f>+G17*(#REF!+#REF!)</f>
        <v>#REF!</v>
      </c>
      <c r="P17" s="1385" t="e">
        <f>+H17*(#REF!+#REF!)</f>
        <v>#REF!</v>
      </c>
      <c r="Q17" s="1385" t="e">
        <f>+I17*(#REF!+#REF!)</f>
        <v>#REF!</v>
      </c>
    </row>
    <row r="18" spans="2:17" s="14" customFormat="1" ht="15" customHeight="1" outlineLevel="1">
      <c r="B18" s="494" t="s">
        <v>190</v>
      </c>
      <c r="C18" s="878" t="e">
        <f>'28.ПЛАН о Фин.сост'!D23*0.2/(#REF!+#REF!)</f>
        <v>#REF!</v>
      </c>
      <c r="D18" s="107" t="e">
        <f>'28.ПЛАН о Фин.сост'!E23*0.2/(#REF!+#REF!)</f>
        <v>#REF!</v>
      </c>
      <c r="E18" s="107" t="e">
        <f>'28.ПЛАН о Фин.сост'!F23*0.2/(#REF!+#REF!)</f>
        <v>#REF!</v>
      </c>
      <c r="F18" s="107" t="e">
        <f>'28.ПЛАН о Фин.сост'!G23*0.2/(#REF!+#REF!)</f>
        <v>#REF!</v>
      </c>
      <c r="G18" s="107" t="e">
        <f>'28.ПЛАН о Фин.сост'!H23*0.2/(#REF!+#REF!)</f>
        <v>#REF!</v>
      </c>
      <c r="H18" s="107" t="e">
        <f>'28.ПЛАН о Фин.сост'!I23*0.2/(#REF!+#REF!)</f>
        <v>#REF!</v>
      </c>
      <c r="I18" s="107" t="e">
        <f>'28.ПЛАН о Фин.сост'!J23*0.2/(#REF!+#REF!)</f>
        <v>#REF!</v>
      </c>
      <c r="J18" s="495" t="e">
        <f>'28.ПЛАН о Фин.сост'!K23*0.2/(#REF!+#REF!)</f>
        <v>#REF!</v>
      </c>
      <c r="K18" s="14" t="e">
        <f>+C18*(#REF!+#REF!)</f>
        <v>#REF!</v>
      </c>
      <c r="L18" s="1385" t="e">
        <f>+D18*(#REF!+#REF!)</f>
        <v>#REF!</v>
      </c>
      <c r="M18" s="1385" t="e">
        <f>+E18*(#REF!+#REF!)</f>
        <v>#REF!</v>
      </c>
      <c r="N18" s="1385" t="e">
        <f>+F18*(#REF!+#REF!)</f>
        <v>#REF!</v>
      </c>
      <c r="O18" s="1385" t="e">
        <f>+G18*(#REF!+#REF!)</f>
        <v>#REF!</v>
      </c>
      <c r="P18" s="1385" t="e">
        <f>+H18*(#REF!+#REF!)</f>
        <v>#REF!</v>
      </c>
      <c r="Q18" s="1385" t="e">
        <f>+I18*(#REF!+#REF!)</f>
        <v>#REF!</v>
      </c>
    </row>
    <row r="19" spans="2:17" s="14" customFormat="1" ht="15" customHeight="1" outlineLevel="1">
      <c r="B19" s="840" t="s">
        <v>598</v>
      </c>
      <c r="C19" s="878" t="e">
        <f>'28.ПЛАН о Фин.сост'!D25/#REF!*#REF!/(#REF!+#REF!)</f>
        <v>#REF!</v>
      </c>
      <c r="D19" s="107" t="e">
        <f>'28.ПЛАН о Фин.сост'!E25/#REF!*#REF!/(#REF!+#REF!)</f>
        <v>#REF!</v>
      </c>
      <c r="E19" s="107" t="e">
        <f>'28.ПЛАН о Фин.сост'!F25/#REF!*#REF!/(#REF!+#REF!)</f>
        <v>#REF!</v>
      </c>
      <c r="F19" s="107" t="e">
        <f>'28.ПЛАН о Фин.сост'!G25/#REF!*#REF!/(#REF!+#REF!)</f>
        <v>#REF!</v>
      </c>
      <c r="G19" s="107" t="e">
        <f>'28.ПЛАН о Фин.сост'!H25/#REF!*#REF!/(#REF!+#REF!)</f>
        <v>#REF!</v>
      </c>
      <c r="H19" s="107" t="e">
        <f>'28.ПЛАН о Фин.сост'!I25/#REF!*#REF!/(#REF!+#REF!)</f>
        <v>#REF!</v>
      </c>
      <c r="I19" s="107" t="e">
        <f>'28.ПЛАН о Фин.сост'!J25/#REF!*#REF!/(#REF!+#REF!)</f>
        <v>#REF!</v>
      </c>
      <c r="J19" s="495" t="e">
        <f>'28.ПЛАН о Фин.сост'!K25/#REF!*#REF!/(#REF!+#REF!)</f>
        <v>#REF!</v>
      </c>
      <c r="L19" s="1385" t="e">
        <f>+D19*(#REF!+#REF!)</f>
        <v>#REF!</v>
      </c>
      <c r="M19" s="1385" t="e">
        <f>+E19*(#REF!+#REF!)</f>
        <v>#REF!</v>
      </c>
      <c r="N19" s="1385" t="e">
        <f>+F19*(#REF!+#REF!)</f>
        <v>#REF!</v>
      </c>
      <c r="O19" s="1385" t="e">
        <f>+G19*(#REF!+#REF!)</f>
        <v>#REF!</v>
      </c>
      <c r="P19" s="1385" t="e">
        <f>+H19*(#REF!+#REF!)</f>
        <v>#REF!</v>
      </c>
      <c r="Q19" s="1385" t="e">
        <f>+I19*(#REF!+#REF!)</f>
        <v>#REF!</v>
      </c>
    </row>
    <row r="20" spans="2:17" s="5" customFormat="1" ht="15" customHeight="1">
      <c r="B20" s="830" t="s">
        <v>407</v>
      </c>
      <c r="C20" s="881" t="e">
        <f t="shared" ref="C20:J20" si="3">SUM(C21:C25)</f>
        <v>#REF!</v>
      </c>
      <c r="D20" s="831" t="e">
        <f t="shared" si="3"/>
        <v>#REF!</v>
      </c>
      <c r="E20" s="831" t="e">
        <f t="shared" si="3"/>
        <v>#REF!</v>
      </c>
      <c r="F20" s="831" t="e">
        <f t="shared" si="3"/>
        <v>#REF!</v>
      </c>
      <c r="G20" s="832" t="e">
        <f t="shared" si="3"/>
        <v>#REF!</v>
      </c>
      <c r="H20" s="832" t="e">
        <f t="shared" si="3"/>
        <v>#REF!</v>
      </c>
      <c r="I20" s="832" t="e">
        <f t="shared" si="3"/>
        <v>#REF!</v>
      </c>
      <c r="J20" s="833" t="e">
        <f t="shared" si="3"/>
        <v>#REF!</v>
      </c>
    </row>
    <row r="21" spans="2:17" s="14" customFormat="1" ht="15" customHeight="1" outlineLevel="1">
      <c r="B21" s="494" t="s">
        <v>368</v>
      </c>
      <c r="C21" s="878" t="e">
        <f>'3 корм ЛОШ'!O12/#REF!</f>
        <v>#REF!</v>
      </c>
      <c r="D21" s="107" t="e">
        <f>'3 корм ЛОШ'!O32/#REF!</f>
        <v>#REF!</v>
      </c>
      <c r="E21" s="107" t="e">
        <f>'3 корм ЛОШ'!O52/#REF!</f>
        <v>#REF!</v>
      </c>
      <c r="F21" s="107" t="e">
        <f>'3 корм ЛОШ'!O72/#REF!</f>
        <v>#REF!</v>
      </c>
      <c r="G21" s="107" t="e">
        <f>'3 корм ЛОШ'!O92/#REF!</f>
        <v>#REF!</v>
      </c>
      <c r="H21" s="107" t="e">
        <f>'3 корм ЛОШ'!O112/#REF!</f>
        <v>#REF!</v>
      </c>
      <c r="I21" s="107" t="e">
        <f>'3 корм ЛОШ'!#REF!/#REF!</f>
        <v>#REF!</v>
      </c>
      <c r="J21" s="495" t="e">
        <f>'3 корм ЛОШ'!#REF!/#REF!</f>
        <v>#REF!</v>
      </c>
      <c r="K21" s="1385" t="e">
        <f>+C21*#REF!</f>
        <v>#REF!</v>
      </c>
      <c r="L21" s="1385" t="e">
        <f>+D21*#REF!</f>
        <v>#REF!</v>
      </c>
      <c r="M21" s="1385" t="e">
        <f>+E21*#REF!</f>
        <v>#REF!</v>
      </c>
      <c r="N21" s="1385" t="e">
        <f>+F21*#REF!</f>
        <v>#REF!</v>
      </c>
      <c r="O21" s="1385" t="e">
        <f>+G21*#REF!</f>
        <v>#REF!</v>
      </c>
      <c r="P21" s="1385" t="e">
        <f>+H21*#REF!</f>
        <v>#REF!</v>
      </c>
      <c r="Q21" s="1385" t="e">
        <f>+I21*#REF!</f>
        <v>#REF!</v>
      </c>
    </row>
    <row r="22" spans="2:17" s="14" customFormat="1" ht="15" customHeight="1" outlineLevel="1">
      <c r="B22" s="494" t="s">
        <v>403</v>
      </c>
      <c r="C22" s="878" t="e">
        <f>'22.ФОТ'!H7/#REF!</f>
        <v>#REF!</v>
      </c>
      <c r="D22" s="107" t="e">
        <f>'22.ФОТ'!N7/#REF!</f>
        <v>#REF!</v>
      </c>
      <c r="E22" s="107" t="e">
        <f>'22.ФОТ'!T7/#REF!</f>
        <v>#REF!</v>
      </c>
      <c r="F22" s="107" t="e">
        <f>'22.ФОТ'!Z7/#REF!</f>
        <v>#REF!</v>
      </c>
      <c r="G22" s="107" t="e">
        <f>'22.ФОТ'!AF7/#REF!</f>
        <v>#REF!</v>
      </c>
      <c r="H22" s="107" t="e">
        <f>'22.ФОТ'!H21/#REF!</f>
        <v>#REF!</v>
      </c>
      <c r="I22" s="107" t="e">
        <f>'22.ФОТ'!N21/#REF!</f>
        <v>#REF!</v>
      </c>
      <c r="J22" s="495" t="e">
        <f>'22.ФОТ'!T21/#REF!</f>
        <v>#REF!</v>
      </c>
      <c r="K22" s="1385" t="e">
        <f>+C22*#REF!</f>
        <v>#REF!</v>
      </c>
      <c r="L22" s="1385" t="e">
        <f>+D22*#REF!</f>
        <v>#REF!</v>
      </c>
      <c r="M22" s="1385" t="e">
        <f>+E22*#REF!</f>
        <v>#REF!</v>
      </c>
      <c r="N22" s="1385" t="e">
        <f>+F22*#REF!</f>
        <v>#REF!</v>
      </c>
      <c r="O22" s="1385" t="e">
        <f>+G22*#REF!</f>
        <v>#REF!</v>
      </c>
      <c r="P22" s="1385" t="e">
        <f>+H22*#REF!</f>
        <v>#REF!</v>
      </c>
      <c r="Q22" s="1385" t="e">
        <f>+I22*#REF!</f>
        <v>#REF!</v>
      </c>
    </row>
    <row r="23" spans="2:17" s="14" customFormat="1" ht="15" customHeight="1" outlineLevel="1">
      <c r="B23" s="494" t="s">
        <v>404</v>
      </c>
      <c r="C23" s="878" t="e">
        <f>'4.защ лош'!#REF!/#REF!*#REF!/#REF!</f>
        <v>#REF!</v>
      </c>
      <c r="D23" s="107" t="e">
        <f>'4.защ лош'!#REF!/#REF!*#REF!/#REF!</f>
        <v>#REF!</v>
      </c>
      <c r="E23" s="107" t="e">
        <f>'4.защ лош'!#REF!/#REF!*#REF!/#REF!</f>
        <v>#REF!</v>
      </c>
      <c r="F23" s="107" t="e">
        <f>'4.защ лош'!#REF!/#REF!*#REF!/#REF!</f>
        <v>#REF!</v>
      </c>
      <c r="G23" s="107" t="e">
        <f>'4.защ лош'!#REF!/#REF!*#REF!/#REF!</f>
        <v>#REF!</v>
      </c>
      <c r="H23" s="107" t="e">
        <f>'4.защ лош'!#REF!/#REF!*#REF!/#REF!</f>
        <v>#REF!</v>
      </c>
      <c r="I23" s="107" t="e">
        <f>'4.защ лош'!#REF!/#REF!*#REF!/#REF!</f>
        <v>#REF!</v>
      </c>
      <c r="J23" s="495" t="e">
        <f>'4.защ лош'!#REF!/#REF!*#REF!/#REF!</f>
        <v>#REF!</v>
      </c>
      <c r="K23" s="1385" t="e">
        <f>+C23*#REF!</f>
        <v>#REF!</v>
      </c>
      <c r="L23" s="1385" t="e">
        <f>+D23*#REF!</f>
        <v>#REF!</v>
      </c>
      <c r="M23" s="1385" t="e">
        <f>+E23*#REF!</f>
        <v>#REF!</v>
      </c>
      <c r="N23" s="1385" t="e">
        <f>+F23*#REF!</f>
        <v>#REF!</v>
      </c>
      <c r="O23" s="1385" t="e">
        <f>+G23*#REF!</f>
        <v>#REF!</v>
      </c>
      <c r="P23" s="1385" t="e">
        <f>+H23*#REF!</f>
        <v>#REF!</v>
      </c>
      <c r="Q23" s="1385" t="e">
        <f>+I23*#REF!</f>
        <v>#REF!</v>
      </c>
    </row>
    <row r="24" spans="2:17" s="14" customFormat="1" ht="15" customHeight="1" outlineLevel="1">
      <c r="B24" s="494" t="s">
        <v>190</v>
      </c>
      <c r="C24" s="878" t="e">
        <f>'28.ПЛАН о Фин.сост'!D23*0.8/#REF!</f>
        <v>#REF!</v>
      </c>
      <c r="D24" s="107" t="e">
        <f>'28.ПЛАН о Фин.сост'!E23*0.8/#REF!</f>
        <v>#REF!</v>
      </c>
      <c r="E24" s="107" t="e">
        <f>'28.ПЛАН о Фин.сост'!F23*0.8/#REF!</f>
        <v>#REF!</v>
      </c>
      <c r="F24" s="107" t="e">
        <f>'28.ПЛАН о Фин.сост'!G23*0.8/#REF!</f>
        <v>#REF!</v>
      </c>
      <c r="G24" s="107" t="e">
        <f>'28.ПЛАН о Фин.сост'!H23*0.8/#REF!</f>
        <v>#REF!</v>
      </c>
      <c r="H24" s="107" t="e">
        <f>'28.ПЛАН о Фин.сост'!I23*0.8/#REF!</f>
        <v>#REF!</v>
      </c>
      <c r="I24" s="107" t="e">
        <f>'28.ПЛАН о Фин.сост'!J23*0.8/#REF!</f>
        <v>#REF!</v>
      </c>
      <c r="J24" s="495" t="e">
        <f>'28.ПЛАН о Фин.сост'!K23*0.8/#REF!</f>
        <v>#REF!</v>
      </c>
      <c r="K24" s="14" t="e">
        <f>+C24*#REF!</f>
        <v>#REF!</v>
      </c>
      <c r="L24" s="1385" t="e">
        <f>+D24*#REF!</f>
        <v>#REF!</v>
      </c>
      <c r="M24" s="1385" t="e">
        <f>+E24*#REF!</f>
        <v>#REF!</v>
      </c>
      <c r="N24" s="1385" t="e">
        <f>+F24*#REF!</f>
        <v>#REF!</v>
      </c>
      <c r="O24" s="1385" t="e">
        <f>+G24*#REF!</f>
        <v>#REF!</v>
      </c>
      <c r="P24" s="1385" t="e">
        <f>+H24*#REF!</f>
        <v>#REF!</v>
      </c>
      <c r="Q24" s="1385" t="e">
        <f>+I24*#REF!</f>
        <v>#REF!</v>
      </c>
    </row>
    <row r="25" spans="2:17" s="14" customFormat="1" ht="15" customHeight="1" outlineLevel="1" thickBot="1">
      <c r="B25" s="840" t="s">
        <v>598</v>
      </c>
      <c r="C25" s="991" t="e">
        <f>'28.ПЛАН о Фин.сост'!D25/#REF!*#REF!/#REF!</f>
        <v>#REF!</v>
      </c>
      <c r="D25" s="992" t="e">
        <f>'28.ПЛАН о Фин.сост'!E25/#REF!*#REF!/#REF!</f>
        <v>#REF!</v>
      </c>
      <c r="E25" s="992" t="e">
        <f>'28.ПЛАН о Фин.сост'!F25/#REF!*#REF!/#REF!</f>
        <v>#REF!</v>
      </c>
      <c r="F25" s="992" t="e">
        <f>'28.ПЛАН о Фин.сост'!G25/#REF!*#REF!/#REF!</f>
        <v>#REF!</v>
      </c>
      <c r="G25" s="992" t="e">
        <f>'28.ПЛАН о Фин.сост'!H25/#REF!*#REF!/#REF!</f>
        <v>#REF!</v>
      </c>
      <c r="H25" s="992" t="e">
        <f>'28.ПЛАН о Фин.сост'!I25/#REF!*#REF!/#REF!</f>
        <v>#REF!</v>
      </c>
      <c r="I25" s="992" t="e">
        <f>'28.ПЛАН о Фин.сост'!J25/#REF!*#REF!/#REF!</f>
        <v>#REF!</v>
      </c>
      <c r="J25" s="993" t="e">
        <f>'28.ПЛАН о Фин.сост'!K25/#REF!*#REF!/#REF!</f>
        <v>#REF!</v>
      </c>
      <c r="L25" s="1385" t="e">
        <f>+D25*#REF!</f>
        <v>#REF!</v>
      </c>
      <c r="M25" s="1385" t="e">
        <f>+E25*#REF!</f>
        <v>#REF!</v>
      </c>
      <c r="N25" s="1385" t="e">
        <f>+F25*#REF!</f>
        <v>#REF!</v>
      </c>
      <c r="O25" s="1385" t="e">
        <f>+G25*#REF!</f>
        <v>#REF!</v>
      </c>
      <c r="P25" s="1385" t="e">
        <f>+H25*#REF!</f>
        <v>#REF!</v>
      </c>
      <c r="Q25" s="1385" t="e">
        <f>+I25*#REF!</f>
        <v>#REF!</v>
      </c>
    </row>
    <row r="26" spans="2:17" s="5" customFormat="1" ht="15" hidden="1" customHeight="1">
      <c r="B26" s="834" t="e">
        <f>ПрСбытПрП!#REF!</f>
        <v>#REF!</v>
      </c>
      <c r="C26" s="881" t="e">
        <f>SUM(C27:C32)</f>
        <v>#REF!</v>
      </c>
      <c r="D26" s="831">
        <f>SUM(D27:D32)</f>
        <v>0</v>
      </c>
      <c r="E26" s="831">
        <f>SUM(E27:E32)</f>
        <v>0</v>
      </c>
      <c r="F26" s="831">
        <f>SUM(F27:F32)</f>
        <v>0</v>
      </c>
      <c r="G26" s="832">
        <f>SUM(G27:G32)</f>
        <v>0</v>
      </c>
      <c r="H26" s="831"/>
      <c r="I26" s="831"/>
      <c r="J26" s="833"/>
      <c r="M26" s="1385" t="e">
        <f>+E26*#REF!</f>
        <v>#REF!</v>
      </c>
      <c r="Q26" s="1385" t="e">
        <f>+I26*#REF!</f>
        <v>#REF!</v>
      </c>
    </row>
    <row r="27" spans="2:17" s="14" customFormat="1" ht="15" hidden="1" customHeight="1" outlineLevel="1">
      <c r="B27" s="494" t="s">
        <v>187</v>
      </c>
      <c r="C27" s="878" t="e">
        <f>ПрСбытПрП!#REF!*60%</f>
        <v>#REF!</v>
      </c>
      <c r="D27" s="107"/>
      <c r="E27" s="107"/>
      <c r="F27" s="107"/>
      <c r="G27" s="828"/>
      <c r="H27" s="107"/>
      <c r="I27" s="107"/>
      <c r="J27" s="495"/>
      <c r="M27" s="1385" t="e">
        <f>+E27*#REF!</f>
        <v>#REF!</v>
      </c>
      <c r="Q27" s="1385" t="e">
        <f>+I27*#REF!</f>
        <v>#REF!</v>
      </c>
    </row>
    <row r="28" spans="2:17" s="14" customFormat="1" ht="15" hidden="1" customHeight="1" outlineLevel="1">
      <c r="B28" s="494" t="s">
        <v>188</v>
      </c>
      <c r="C28" s="878">
        <v>0</v>
      </c>
      <c r="D28" s="108">
        <f t="shared" ref="D28:G31" si="4">C28</f>
        <v>0</v>
      </c>
      <c r="E28" s="108">
        <f t="shared" si="4"/>
        <v>0</v>
      </c>
      <c r="F28" s="108">
        <f t="shared" si="4"/>
        <v>0</v>
      </c>
      <c r="G28" s="829">
        <f t="shared" si="4"/>
        <v>0</v>
      </c>
      <c r="H28" s="108"/>
      <c r="I28" s="108"/>
      <c r="J28" s="496"/>
      <c r="M28" s="1385" t="e">
        <f>+E28*#REF!</f>
        <v>#REF!</v>
      </c>
      <c r="Q28" s="1385" t="e">
        <f>+I28*#REF!</f>
        <v>#REF!</v>
      </c>
    </row>
    <row r="29" spans="2:17" s="14" customFormat="1" ht="15" hidden="1" customHeight="1" outlineLevel="1">
      <c r="B29" s="494" t="s">
        <v>189</v>
      </c>
      <c r="C29" s="878">
        <v>0</v>
      </c>
      <c r="D29" s="108">
        <f t="shared" si="4"/>
        <v>0</v>
      </c>
      <c r="E29" s="108">
        <f t="shared" si="4"/>
        <v>0</v>
      </c>
      <c r="F29" s="108">
        <f t="shared" si="4"/>
        <v>0</v>
      </c>
      <c r="G29" s="829">
        <f t="shared" si="4"/>
        <v>0</v>
      </c>
      <c r="H29" s="108"/>
      <c r="I29" s="108"/>
      <c r="J29" s="496"/>
      <c r="M29" s="1385" t="e">
        <f>+E29*#REF!</f>
        <v>#REF!</v>
      </c>
      <c r="Q29" s="1385" t="e">
        <f>+I29*#REF!</f>
        <v>#REF!</v>
      </c>
    </row>
    <row r="30" spans="2:17" s="14" customFormat="1" ht="15" hidden="1" customHeight="1" outlineLevel="1">
      <c r="B30" s="494" t="s">
        <v>190</v>
      </c>
      <c r="C30" s="878">
        <v>0</v>
      </c>
      <c r="D30" s="108">
        <f t="shared" si="4"/>
        <v>0</v>
      </c>
      <c r="E30" s="108">
        <f t="shared" si="4"/>
        <v>0</v>
      </c>
      <c r="F30" s="108">
        <f t="shared" si="4"/>
        <v>0</v>
      </c>
      <c r="G30" s="829">
        <f t="shared" si="4"/>
        <v>0</v>
      </c>
      <c r="H30" s="108"/>
      <c r="I30" s="108"/>
      <c r="J30" s="496"/>
      <c r="M30" s="1385" t="e">
        <f>+E30*#REF!</f>
        <v>#REF!</v>
      </c>
      <c r="Q30" s="1385" t="e">
        <f>+I30*#REF!</f>
        <v>#REF!</v>
      </c>
    </row>
    <row r="31" spans="2:17" s="14" customFormat="1" ht="15" hidden="1" customHeight="1" outlineLevel="1">
      <c r="B31" s="494" t="s">
        <v>191</v>
      </c>
      <c r="C31" s="878">
        <v>0</v>
      </c>
      <c r="D31" s="108">
        <f t="shared" si="4"/>
        <v>0</v>
      </c>
      <c r="E31" s="108">
        <f t="shared" si="4"/>
        <v>0</v>
      </c>
      <c r="F31" s="108">
        <f t="shared" si="4"/>
        <v>0</v>
      </c>
      <c r="G31" s="829">
        <f t="shared" si="4"/>
        <v>0</v>
      </c>
      <c r="H31" s="108"/>
      <c r="I31" s="108"/>
      <c r="J31" s="496"/>
      <c r="M31" s="1385" t="e">
        <f>+E31*#REF!</f>
        <v>#REF!</v>
      </c>
      <c r="Q31" s="1385" t="e">
        <f>+I31*#REF!</f>
        <v>#REF!</v>
      </c>
    </row>
    <row r="32" spans="2:17" s="14" customFormat="1" ht="15" hidden="1" customHeight="1" outlineLevel="1">
      <c r="B32" s="494" t="s">
        <v>103</v>
      </c>
      <c r="C32" s="878" t="e">
        <f>ПрСбытПрП!#REF!*3%</f>
        <v>#REF!</v>
      </c>
      <c r="D32" s="107">
        <v>0</v>
      </c>
      <c r="E32" s="107">
        <v>0</v>
      </c>
      <c r="F32" s="107">
        <v>0</v>
      </c>
      <c r="G32" s="828">
        <v>0</v>
      </c>
      <c r="H32" s="107"/>
      <c r="I32" s="107"/>
      <c r="J32" s="495"/>
      <c r="M32" s="1385" t="e">
        <f>+E32*#REF!</f>
        <v>#REF!</v>
      </c>
      <c r="Q32" s="1385" t="e">
        <f>+I32*#REF!</f>
        <v>#REF!</v>
      </c>
    </row>
    <row r="33" spans="2:17" s="14" customFormat="1" ht="15" hidden="1" customHeight="1">
      <c r="B33" s="498" t="e">
        <f>ПрСбытПрП!#REF!</f>
        <v>#REF!</v>
      </c>
      <c r="C33" s="882" t="e">
        <f>SUM(C34:C39)</f>
        <v>#REF!</v>
      </c>
      <c r="D33" s="106" t="e">
        <f>SUM(D34:D39)</f>
        <v>#REF!</v>
      </c>
      <c r="E33" s="106" t="e">
        <f>SUM(E34:E39)</f>
        <v>#REF!</v>
      </c>
      <c r="F33" s="106" t="e">
        <f>SUM(F34:F39)</f>
        <v>#REF!</v>
      </c>
      <c r="G33" s="827" t="e">
        <f>SUM(G34:G39)</f>
        <v>#REF!</v>
      </c>
      <c r="H33" s="106"/>
      <c r="I33" s="106"/>
      <c r="J33" s="493"/>
      <c r="M33" s="1385" t="e">
        <f>+E33*#REF!</f>
        <v>#REF!</v>
      </c>
      <c r="Q33" s="1385" t="e">
        <f>+I33*#REF!</f>
        <v>#REF!</v>
      </c>
    </row>
    <row r="34" spans="2:17" s="14" customFormat="1" ht="15" hidden="1" customHeight="1" outlineLevel="1">
      <c r="B34" s="494" t="s">
        <v>187</v>
      </c>
      <c r="C34" s="878" t="e">
        <f>ПрСбытПрП!#REF!*40%</f>
        <v>#REF!</v>
      </c>
      <c r="D34" s="107" t="e">
        <f>ПрСбытПрП!#REF!*40%</f>
        <v>#REF!</v>
      </c>
      <c r="E34" s="107" t="e">
        <f>ПрСбытПрП!#REF!*40%</f>
        <v>#REF!</v>
      </c>
      <c r="F34" s="107" t="e">
        <f>ПрСбытПрП!#REF!*40%</f>
        <v>#REF!</v>
      </c>
      <c r="G34" s="828" t="e">
        <f>ПрСбытПрП!#REF!*40%</f>
        <v>#REF!</v>
      </c>
      <c r="H34" s="107"/>
      <c r="I34" s="107"/>
      <c r="J34" s="495"/>
      <c r="M34" s="1385" t="e">
        <f>+E34*#REF!</f>
        <v>#REF!</v>
      </c>
      <c r="Q34" s="1385" t="e">
        <f>+I34*#REF!</f>
        <v>#REF!</v>
      </c>
    </row>
    <row r="35" spans="2:17" s="14" customFormat="1" ht="15" hidden="1" customHeight="1" outlineLevel="1">
      <c r="B35" s="494" t="s">
        <v>188</v>
      </c>
      <c r="C35" s="878">
        <v>0</v>
      </c>
      <c r="D35" s="108">
        <f t="shared" ref="D35:D38" si="5">C35</f>
        <v>0</v>
      </c>
      <c r="E35" s="108">
        <f t="shared" ref="E35:E38" si="6">D35</f>
        <v>0</v>
      </c>
      <c r="F35" s="108">
        <f t="shared" ref="F35:F38" si="7">E35</f>
        <v>0</v>
      </c>
      <c r="G35" s="829">
        <f t="shared" ref="G35:G38" si="8">F35</f>
        <v>0</v>
      </c>
      <c r="H35" s="108"/>
      <c r="I35" s="108"/>
      <c r="J35" s="496"/>
      <c r="M35" s="1385" t="e">
        <f>+E35*#REF!</f>
        <v>#REF!</v>
      </c>
      <c r="Q35" s="1385" t="e">
        <f>+I35*#REF!</f>
        <v>#REF!</v>
      </c>
    </row>
    <row r="36" spans="2:17" s="14" customFormat="1" ht="15" hidden="1" customHeight="1" outlineLevel="1">
      <c r="B36" s="494" t="s">
        <v>189</v>
      </c>
      <c r="C36" s="878">
        <v>0</v>
      </c>
      <c r="D36" s="108">
        <f t="shared" si="5"/>
        <v>0</v>
      </c>
      <c r="E36" s="108">
        <f t="shared" si="6"/>
        <v>0</v>
      </c>
      <c r="F36" s="108">
        <f t="shared" si="7"/>
        <v>0</v>
      </c>
      <c r="G36" s="829">
        <f t="shared" si="8"/>
        <v>0</v>
      </c>
      <c r="H36" s="108"/>
      <c r="I36" s="108"/>
      <c r="J36" s="496"/>
      <c r="M36" s="1385" t="e">
        <f>+E36*#REF!</f>
        <v>#REF!</v>
      </c>
      <c r="Q36" s="1385" t="e">
        <f>+I36*#REF!</f>
        <v>#REF!</v>
      </c>
    </row>
    <row r="37" spans="2:17" s="14" customFormat="1" ht="15" hidden="1" customHeight="1" outlineLevel="1">
      <c r="B37" s="494" t="s">
        <v>190</v>
      </c>
      <c r="C37" s="878">
        <v>0</v>
      </c>
      <c r="D37" s="108">
        <f t="shared" si="5"/>
        <v>0</v>
      </c>
      <c r="E37" s="108">
        <f t="shared" si="6"/>
        <v>0</v>
      </c>
      <c r="F37" s="108">
        <f t="shared" si="7"/>
        <v>0</v>
      </c>
      <c r="G37" s="829">
        <f t="shared" si="8"/>
        <v>0</v>
      </c>
      <c r="H37" s="108"/>
      <c r="I37" s="108"/>
      <c r="J37" s="496"/>
      <c r="M37" s="1385" t="e">
        <f>+E37*#REF!</f>
        <v>#REF!</v>
      </c>
      <c r="Q37" s="1385" t="e">
        <f>+I37*#REF!</f>
        <v>#REF!</v>
      </c>
    </row>
    <row r="38" spans="2:17" s="14" customFormat="1" ht="15" hidden="1" customHeight="1" outlineLevel="1">
      <c r="B38" s="494" t="s">
        <v>191</v>
      </c>
      <c r="C38" s="878">
        <v>0</v>
      </c>
      <c r="D38" s="108">
        <f t="shared" si="5"/>
        <v>0</v>
      </c>
      <c r="E38" s="108">
        <f t="shared" si="6"/>
        <v>0</v>
      </c>
      <c r="F38" s="108">
        <f t="shared" si="7"/>
        <v>0</v>
      </c>
      <c r="G38" s="829">
        <f t="shared" si="8"/>
        <v>0</v>
      </c>
      <c r="H38" s="108"/>
      <c r="I38" s="108"/>
      <c r="J38" s="496"/>
      <c r="M38" s="1385" t="e">
        <f>+E38*#REF!</f>
        <v>#REF!</v>
      </c>
      <c r="Q38" s="1385" t="e">
        <f>+I38*#REF!</f>
        <v>#REF!</v>
      </c>
    </row>
    <row r="39" spans="2:17" s="14" customFormat="1" ht="15" hidden="1" customHeight="1" outlineLevel="1">
      <c r="B39" s="494" t="s">
        <v>103</v>
      </c>
      <c r="C39" s="878" t="e">
        <f>ПрСбытПрП!#REF!*3%</f>
        <v>#REF!</v>
      </c>
      <c r="D39" s="107" t="e">
        <f>ПрСбытПрП!#REF!*3%</f>
        <v>#REF!</v>
      </c>
      <c r="E39" s="107" t="e">
        <f>ПрСбытПрП!#REF!*3%</f>
        <v>#REF!</v>
      </c>
      <c r="F39" s="107" t="e">
        <f>ПрСбытПрП!#REF!*3%</f>
        <v>#REF!</v>
      </c>
      <c r="G39" s="828" t="e">
        <f>ПрСбытПрП!#REF!*3%</f>
        <v>#REF!</v>
      </c>
      <c r="H39" s="107"/>
      <c r="I39" s="107"/>
      <c r="J39" s="495"/>
      <c r="M39" s="1385" t="e">
        <f>+E39*#REF!</f>
        <v>#REF!</v>
      </c>
      <c r="Q39" s="1385" t="e">
        <f>+I39*#REF!</f>
        <v>#REF!</v>
      </c>
    </row>
    <row r="40" spans="2:17" s="14" customFormat="1" ht="15" hidden="1" customHeight="1">
      <c r="B40" s="498" t="e">
        <f>ПрСбытПрП!#REF!</f>
        <v>#REF!</v>
      </c>
      <c r="C40" s="882" t="e">
        <f>SUM(C41:C46)</f>
        <v>#REF!</v>
      </c>
      <c r="D40" s="106" t="e">
        <f>SUM(D41:D46)</f>
        <v>#REF!</v>
      </c>
      <c r="E40" s="106" t="e">
        <f>SUM(E41:E46)</f>
        <v>#REF!</v>
      </c>
      <c r="F40" s="106" t="e">
        <f>SUM(F41:F46)</f>
        <v>#REF!</v>
      </c>
      <c r="G40" s="827" t="e">
        <f>SUM(G41:G46)</f>
        <v>#REF!</v>
      </c>
      <c r="H40" s="106"/>
      <c r="I40" s="106"/>
      <c r="J40" s="493"/>
      <c r="M40" s="1385" t="e">
        <f>+E40*#REF!</f>
        <v>#REF!</v>
      </c>
      <c r="Q40" s="1385" t="e">
        <f>+I40*#REF!</f>
        <v>#REF!</v>
      </c>
    </row>
    <row r="41" spans="2:17" s="14" customFormat="1" ht="15" hidden="1" customHeight="1" outlineLevel="1">
      <c r="B41" s="494" t="s">
        <v>187</v>
      </c>
      <c r="C41" s="878" t="e">
        <f>ПрСбытПрП!#REF!*40%</f>
        <v>#REF!</v>
      </c>
      <c r="D41" s="107" t="e">
        <f>ПрСбытПрП!#REF!*40%</f>
        <v>#REF!</v>
      </c>
      <c r="E41" s="107" t="e">
        <f>ПрСбытПрП!#REF!*40%</f>
        <v>#REF!</v>
      </c>
      <c r="F41" s="107" t="e">
        <f>ПрСбытПрП!#REF!*40%</f>
        <v>#REF!</v>
      </c>
      <c r="G41" s="828" t="e">
        <f>ПрСбытПрП!#REF!*40%</f>
        <v>#REF!</v>
      </c>
      <c r="H41" s="107"/>
      <c r="I41" s="107"/>
      <c r="J41" s="495"/>
      <c r="M41" s="1385" t="e">
        <f>+E41*#REF!</f>
        <v>#REF!</v>
      </c>
      <c r="Q41" s="1385" t="e">
        <f>+I41*#REF!</f>
        <v>#REF!</v>
      </c>
    </row>
    <row r="42" spans="2:17" s="14" customFormat="1" ht="15" hidden="1" customHeight="1" outlineLevel="1">
      <c r="B42" s="494" t="s">
        <v>188</v>
      </c>
      <c r="C42" s="878">
        <v>0</v>
      </c>
      <c r="D42" s="108">
        <f t="shared" ref="D42:D45" si="9">C42</f>
        <v>0</v>
      </c>
      <c r="E42" s="108">
        <f t="shared" ref="E42:E45" si="10">D42</f>
        <v>0</v>
      </c>
      <c r="F42" s="108">
        <f t="shared" ref="F42:F45" si="11">E42</f>
        <v>0</v>
      </c>
      <c r="G42" s="829">
        <f t="shared" ref="G42:G45" si="12">F42</f>
        <v>0</v>
      </c>
      <c r="H42" s="108"/>
      <c r="I42" s="108"/>
      <c r="J42" s="496"/>
      <c r="M42" s="1385" t="e">
        <f>+E42*#REF!</f>
        <v>#REF!</v>
      </c>
      <c r="Q42" s="1385" t="e">
        <f>+I42*#REF!</f>
        <v>#REF!</v>
      </c>
    </row>
    <row r="43" spans="2:17" s="14" customFormat="1" ht="15" hidden="1" customHeight="1" outlineLevel="1">
      <c r="B43" s="494" t="s">
        <v>189</v>
      </c>
      <c r="C43" s="878">
        <v>0</v>
      </c>
      <c r="D43" s="108">
        <f t="shared" si="9"/>
        <v>0</v>
      </c>
      <c r="E43" s="108">
        <f t="shared" si="10"/>
        <v>0</v>
      </c>
      <c r="F43" s="108">
        <f t="shared" si="11"/>
        <v>0</v>
      </c>
      <c r="G43" s="829">
        <f t="shared" si="12"/>
        <v>0</v>
      </c>
      <c r="H43" s="108"/>
      <c r="I43" s="108"/>
      <c r="J43" s="496"/>
      <c r="M43" s="1385" t="e">
        <f>+E43*#REF!</f>
        <v>#REF!</v>
      </c>
      <c r="Q43" s="1385" t="e">
        <f>+I43*#REF!</f>
        <v>#REF!</v>
      </c>
    </row>
    <row r="44" spans="2:17" s="14" customFormat="1" ht="15" hidden="1" customHeight="1" outlineLevel="1">
      <c r="B44" s="494" t="s">
        <v>190</v>
      </c>
      <c r="C44" s="878">
        <v>0</v>
      </c>
      <c r="D44" s="108">
        <f t="shared" si="9"/>
        <v>0</v>
      </c>
      <c r="E44" s="108">
        <f t="shared" si="10"/>
        <v>0</v>
      </c>
      <c r="F44" s="108">
        <f t="shared" si="11"/>
        <v>0</v>
      </c>
      <c r="G44" s="829">
        <f t="shared" si="12"/>
        <v>0</v>
      </c>
      <c r="H44" s="108"/>
      <c r="I44" s="108"/>
      <c r="J44" s="496"/>
      <c r="M44" s="1385" t="e">
        <f>+E44*#REF!</f>
        <v>#REF!</v>
      </c>
      <c r="Q44" s="1385" t="e">
        <f>+I44*#REF!</f>
        <v>#REF!</v>
      </c>
    </row>
    <row r="45" spans="2:17" s="14" customFormat="1" ht="15" hidden="1" customHeight="1" outlineLevel="1">
      <c r="B45" s="494" t="s">
        <v>191</v>
      </c>
      <c r="C45" s="878">
        <v>0</v>
      </c>
      <c r="D45" s="108">
        <f t="shared" si="9"/>
        <v>0</v>
      </c>
      <c r="E45" s="108">
        <f t="shared" si="10"/>
        <v>0</v>
      </c>
      <c r="F45" s="108">
        <f t="shared" si="11"/>
        <v>0</v>
      </c>
      <c r="G45" s="829">
        <f t="shared" si="12"/>
        <v>0</v>
      </c>
      <c r="H45" s="108"/>
      <c r="I45" s="108"/>
      <c r="J45" s="496"/>
      <c r="M45" s="1385" t="e">
        <f>+E45*#REF!</f>
        <v>#REF!</v>
      </c>
      <c r="Q45" s="1385" t="e">
        <f>+I45*#REF!</f>
        <v>#REF!</v>
      </c>
    </row>
    <row r="46" spans="2:17" s="14" customFormat="1" ht="15" hidden="1" customHeight="1" outlineLevel="1">
      <c r="B46" s="494" t="s">
        <v>103</v>
      </c>
      <c r="C46" s="878" t="e">
        <f>ПрСбытПрП!#REF!*3%</f>
        <v>#REF!</v>
      </c>
      <c r="D46" s="107" t="e">
        <f>ПрСбытПрП!#REF!*3%</f>
        <v>#REF!</v>
      </c>
      <c r="E46" s="107" t="e">
        <f>ПрСбытПрП!#REF!*3%</f>
        <v>#REF!</v>
      </c>
      <c r="F46" s="107" t="e">
        <f>ПрСбытПрП!#REF!*3%</f>
        <v>#REF!</v>
      </c>
      <c r="G46" s="828" t="e">
        <f>ПрСбытПрП!#REF!*3%</f>
        <v>#REF!</v>
      </c>
      <c r="H46" s="107"/>
      <c r="I46" s="107"/>
      <c r="J46" s="495"/>
      <c r="M46" s="1385" t="e">
        <f>+E46*#REF!</f>
        <v>#REF!</v>
      </c>
      <c r="Q46" s="1385" t="e">
        <f>+I46*#REF!</f>
        <v>#REF!</v>
      </c>
    </row>
    <row r="47" spans="2:17" s="14" customFormat="1" ht="15" hidden="1" customHeight="1">
      <c r="B47" s="498" t="e">
        <f>ПрСбытПрП!#REF!</f>
        <v>#REF!</v>
      </c>
      <c r="C47" s="882" t="e">
        <f>SUM(C48:C53)</f>
        <v>#REF!</v>
      </c>
      <c r="D47" s="106" t="e">
        <f>SUM(D48:D53)</f>
        <v>#REF!</v>
      </c>
      <c r="E47" s="106" t="e">
        <f>SUM(E48:E53)</f>
        <v>#REF!</v>
      </c>
      <c r="F47" s="106" t="e">
        <f>SUM(F48:F53)</f>
        <v>#REF!</v>
      </c>
      <c r="G47" s="827" t="e">
        <f>SUM(G48:G53)</f>
        <v>#REF!</v>
      </c>
      <c r="H47" s="106"/>
      <c r="I47" s="106"/>
      <c r="J47" s="493"/>
      <c r="M47" s="1385" t="e">
        <f>+E47*#REF!</f>
        <v>#REF!</v>
      </c>
      <c r="Q47" s="1385" t="e">
        <f>+I47*#REF!</f>
        <v>#REF!</v>
      </c>
    </row>
    <row r="48" spans="2:17" s="14" customFormat="1" ht="15" hidden="1" customHeight="1" outlineLevel="1">
      <c r="B48" s="494" t="s">
        <v>187</v>
      </c>
      <c r="C48" s="878" t="e">
        <f>ПрСбытПрП!#REF!*40%</f>
        <v>#REF!</v>
      </c>
      <c r="D48" s="107" t="e">
        <f>ПрСбытПрП!#REF!*40%</f>
        <v>#REF!</v>
      </c>
      <c r="E48" s="107" t="e">
        <f>ПрСбытПрП!#REF!*40%</f>
        <v>#REF!</v>
      </c>
      <c r="F48" s="107" t="e">
        <f>ПрСбытПрП!#REF!*40%</f>
        <v>#REF!</v>
      </c>
      <c r="G48" s="828" t="e">
        <f>ПрСбытПрП!#REF!*40%</f>
        <v>#REF!</v>
      </c>
      <c r="H48" s="107"/>
      <c r="I48" s="107"/>
      <c r="J48" s="495"/>
      <c r="M48" s="1385" t="e">
        <f>+E48*#REF!</f>
        <v>#REF!</v>
      </c>
      <c r="Q48" s="1385" t="e">
        <f>+I48*#REF!</f>
        <v>#REF!</v>
      </c>
    </row>
    <row r="49" spans="2:17" s="14" customFormat="1" ht="15" hidden="1" customHeight="1" outlineLevel="1">
      <c r="B49" s="494" t="s">
        <v>188</v>
      </c>
      <c r="C49" s="878">
        <v>0</v>
      </c>
      <c r="D49" s="108">
        <f t="shared" ref="D49:D52" si="13">C49</f>
        <v>0</v>
      </c>
      <c r="E49" s="108">
        <f t="shared" ref="E49:E52" si="14">D49</f>
        <v>0</v>
      </c>
      <c r="F49" s="108">
        <f t="shared" ref="F49:F52" si="15">E49</f>
        <v>0</v>
      </c>
      <c r="G49" s="829">
        <f t="shared" ref="G49:G52" si="16">F49</f>
        <v>0</v>
      </c>
      <c r="H49" s="108"/>
      <c r="I49" s="108"/>
      <c r="J49" s="496"/>
      <c r="M49" s="1385" t="e">
        <f>+E49*#REF!</f>
        <v>#REF!</v>
      </c>
      <c r="Q49" s="1385" t="e">
        <f>+I49*#REF!</f>
        <v>#REF!</v>
      </c>
    </row>
    <row r="50" spans="2:17" s="14" customFormat="1" ht="15" hidden="1" customHeight="1" outlineLevel="1">
      <c r="B50" s="494" t="s">
        <v>189</v>
      </c>
      <c r="C50" s="878">
        <v>0</v>
      </c>
      <c r="D50" s="108">
        <f t="shared" si="13"/>
        <v>0</v>
      </c>
      <c r="E50" s="108">
        <f t="shared" si="14"/>
        <v>0</v>
      </c>
      <c r="F50" s="108">
        <f t="shared" si="15"/>
        <v>0</v>
      </c>
      <c r="G50" s="829">
        <f t="shared" si="16"/>
        <v>0</v>
      </c>
      <c r="H50" s="108"/>
      <c r="I50" s="108"/>
      <c r="J50" s="496"/>
      <c r="M50" s="1385" t="e">
        <f>+E50*#REF!</f>
        <v>#REF!</v>
      </c>
      <c r="Q50" s="1385" t="e">
        <f>+I50*#REF!</f>
        <v>#REF!</v>
      </c>
    </row>
    <row r="51" spans="2:17" s="14" customFormat="1" ht="15" hidden="1" customHeight="1" outlineLevel="1">
      <c r="B51" s="494" t="s">
        <v>190</v>
      </c>
      <c r="C51" s="878">
        <v>0</v>
      </c>
      <c r="D51" s="108">
        <f t="shared" si="13"/>
        <v>0</v>
      </c>
      <c r="E51" s="108">
        <f t="shared" si="14"/>
        <v>0</v>
      </c>
      <c r="F51" s="108">
        <f t="shared" si="15"/>
        <v>0</v>
      </c>
      <c r="G51" s="829">
        <f t="shared" si="16"/>
        <v>0</v>
      </c>
      <c r="H51" s="108"/>
      <c r="I51" s="108"/>
      <c r="J51" s="496"/>
      <c r="M51" s="1385" t="e">
        <f>+E51*#REF!</f>
        <v>#REF!</v>
      </c>
      <c r="Q51" s="1385" t="e">
        <f>+I51*#REF!</f>
        <v>#REF!</v>
      </c>
    </row>
    <row r="52" spans="2:17" s="14" customFormat="1" ht="15" hidden="1" customHeight="1" outlineLevel="1">
      <c r="B52" s="494" t="s">
        <v>191</v>
      </c>
      <c r="C52" s="878">
        <v>0</v>
      </c>
      <c r="D52" s="108">
        <f t="shared" si="13"/>
        <v>0</v>
      </c>
      <c r="E52" s="108">
        <f t="shared" si="14"/>
        <v>0</v>
      </c>
      <c r="F52" s="108">
        <f t="shared" si="15"/>
        <v>0</v>
      </c>
      <c r="G52" s="829">
        <f t="shared" si="16"/>
        <v>0</v>
      </c>
      <c r="H52" s="108"/>
      <c r="I52" s="108"/>
      <c r="J52" s="496"/>
      <c r="M52" s="1385" t="e">
        <f>+E52*#REF!</f>
        <v>#REF!</v>
      </c>
      <c r="Q52" s="1385" t="e">
        <f>+I52*#REF!</f>
        <v>#REF!</v>
      </c>
    </row>
    <row r="53" spans="2:17" s="14" customFormat="1" ht="15" hidden="1" customHeight="1" outlineLevel="1">
      <c r="B53" s="494" t="s">
        <v>103</v>
      </c>
      <c r="C53" s="878" t="e">
        <f>ПрСбытПрП!#REF!*3%</f>
        <v>#REF!</v>
      </c>
      <c r="D53" s="107" t="e">
        <f>ПрСбытПрП!#REF!*3%</f>
        <v>#REF!</v>
      </c>
      <c r="E53" s="107" t="e">
        <f>ПрСбытПрП!#REF!*3%</f>
        <v>#REF!</v>
      </c>
      <c r="F53" s="107" t="e">
        <f>ПрСбытПрП!#REF!*3%</f>
        <v>#REF!</v>
      </c>
      <c r="G53" s="828" t="e">
        <f>ПрСбытПрП!#REF!*3%</f>
        <v>#REF!</v>
      </c>
      <c r="H53" s="107"/>
      <c r="I53" s="107"/>
      <c r="J53" s="495"/>
      <c r="M53" s="1385" t="e">
        <f>+E53*#REF!</f>
        <v>#REF!</v>
      </c>
      <c r="Q53" s="1385" t="e">
        <f>+I53*#REF!</f>
        <v>#REF!</v>
      </c>
    </row>
    <row r="54" spans="2:17" s="14" customFormat="1" ht="15" hidden="1" customHeight="1">
      <c r="B54" s="498" t="e">
        <f>ПрСбытПрП!#REF!</f>
        <v>#REF!</v>
      </c>
      <c r="C54" s="882" t="e">
        <f>SUM(C55:C60)</f>
        <v>#REF!</v>
      </c>
      <c r="D54" s="106" t="e">
        <f>SUM(D55:D60)</f>
        <v>#REF!</v>
      </c>
      <c r="E54" s="106" t="e">
        <f>SUM(E55:E60)</f>
        <v>#REF!</v>
      </c>
      <c r="F54" s="106" t="e">
        <f>SUM(F55:F60)</f>
        <v>#REF!</v>
      </c>
      <c r="G54" s="827" t="e">
        <f>SUM(G55:G60)</f>
        <v>#REF!</v>
      </c>
      <c r="H54" s="106"/>
      <c r="I54" s="106"/>
      <c r="J54" s="493"/>
      <c r="M54" s="1385" t="e">
        <f>+E54*#REF!</f>
        <v>#REF!</v>
      </c>
      <c r="Q54" s="1385" t="e">
        <f>+I54*#REF!</f>
        <v>#REF!</v>
      </c>
    </row>
    <row r="55" spans="2:17" s="14" customFormat="1" ht="15" hidden="1" customHeight="1" outlineLevel="1">
      <c r="B55" s="494" t="s">
        <v>187</v>
      </c>
      <c r="C55" s="878" t="e">
        <f>ПрСбытПрП!#REF!*40%</f>
        <v>#REF!</v>
      </c>
      <c r="D55" s="107" t="e">
        <f>ПрСбытПрП!#REF!*40%</f>
        <v>#REF!</v>
      </c>
      <c r="E55" s="107" t="e">
        <f>ПрСбытПрП!#REF!*40%</f>
        <v>#REF!</v>
      </c>
      <c r="F55" s="107" t="e">
        <f>ПрСбытПрП!#REF!*40%</f>
        <v>#REF!</v>
      </c>
      <c r="G55" s="828" t="e">
        <f>ПрСбытПрП!#REF!*40%</f>
        <v>#REF!</v>
      </c>
      <c r="H55" s="107"/>
      <c r="I55" s="107"/>
      <c r="J55" s="495"/>
      <c r="M55" s="1385" t="e">
        <f>+E55*#REF!</f>
        <v>#REF!</v>
      </c>
      <c r="Q55" s="1385" t="e">
        <f>+I55*#REF!</f>
        <v>#REF!</v>
      </c>
    </row>
    <row r="56" spans="2:17" s="14" customFormat="1" ht="15" hidden="1" customHeight="1" outlineLevel="1">
      <c r="B56" s="494" t="s">
        <v>188</v>
      </c>
      <c r="C56" s="878">
        <v>0</v>
      </c>
      <c r="D56" s="108">
        <f t="shared" ref="D56:D59" si="17">C56</f>
        <v>0</v>
      </c>
      <c r="E56" s="108">
        <f t="shared" ref="E56:E59" si="18">D56</f>
        <v>0</v>
      </c>
      <c r="F56" s="108">
        <f t="shared" ref="F56:F59" si="19">E56</f>
        <v>0</v>
      </c>
      <c r="G56" s="829">
        <f t="shared" ref="G56:G59" si="20">F56</f>
        <v>0</v>
      </c>
      <c r="H56" s="108"/>
      <c r="I56" s="108"/>
      <c r="J56" s="496"/>
      <c r="M56" s="1385" t="e">
        <f>+E56*#REF!</f>
        <v>#REF!</v>
      </c>
      <c r="Q56" s="1385" t="e">
        <f>+I56*#REF!</f>
        <v>#REF!</v>
      </c>
    </row>
    <row r="57" spans="2:17" s="14" customFormat="1" ht="15" hidden="1" customHeight="1" outlineLevel="1">
      <c r="B57" s="494" t="s">
        <v>189</v>
      </c>
      <c r="C57" s="878">
        <v>0</v>
      </c>
      <c r="D57" s="108">
        <f t="shared" si="17"/>
        <v>0</v>
      </c>
      <c r="E57" s="108">
        <f t="shared" si="18"/>
        <v>0</v>
      </c>
      <c r="F57" s="108">
        <f t="shared" si="19"/>
        <v>0</v>
      </c>
      <c r="G57" s="829">
        <f t="shared" si="20"/>
        <v>0</v>
      </c>
      <c r="H57" s="108"/>
      <c r="I57" s="108"/>
      <c r="J57" s="496"/>
      <c r="M57" s="1385" t="e">
        <f>+E57*#REF!</f>
        <v>#REF!</v>
      </c>
      <c r="Q57" s="1385" t="e">
        <f>+I57*#REF!</f>
        <v>#REF!</v>
      </c>
    </row>
    <row r="58" spans="2:17" s="14" customFormat="1" ht="15" hidden="1" customHeight="1" outlineLevel="1">
      <c r="B58" s="494" t="s">
        <v>190</v>
      </c>
      <c r="C58" s="878">
        <v>0</v>
      </c>
      <c r="D58" s="108">
        <f t="shared" si="17"/>
        <v>0</v>
      </c>
      <c r="E58" s="108">
        <f t="shared" si="18"/>
        <v>0</v>
      </c>
      <c r="F58" s="108">
        <f t="shared" si="19"/>
        <v>0</v>
      </c>
      <c r="G58" s="829">
        <f t="shared" si="20"/>
        <v>0</v>
      </c>
      <c r="H58" s="108"/>
      <c r="I58" s="108"/>
      <c r="J58" s="496"/>
      <c r="M58" s="1385" t="e">
        <f>+E58*#REF!</f>
        <v>#REF!</v>
      </c>
      <c r="Q58" s="1385" t="e">
        <f>+I58*#REF!</f>
        <v>#REF!</v>
      </c>
    </row>
    <row r="59" spans="2:17" s="14" customFormat="1" ht="15" hidden="1" customHeight="1" outlineLevel="1">
      <c r="B59" s="494" t="s">
        <v>191</v>
      </c>
      <c r="C59" s="878">
        <v>0</v>
      </c>
      <c r="D59" s="108">
        <f t="shared" si="17"/>
        <v>0</v>
      </c>
      <c r="E59" s="108">
        <f t="shared" si="18"/>
        <v>0</v>
      </c>
      <c r="F59" s="108">
        <f t="shared" si="19"/>
        <v>0</v>
      </c>
      <c r="G59" s="829">
        <f t="shared" si="20"/>
        <v>0</v>
      </c>
      <c r="H59" s="108"/>
      <c r="I59" s="108"/>
      <c r="J59" s="496"/>
      <c r="M59" s="1385" t="e">
        <f>+E59*#REF!</f>
        <v>#REF!</v>
      </c>
      <c r="Q59" s="1385" t="e">
        <f>+I59*#REF!</f>
        <v>#REF!</v>
      </c>
    </row>
    <row r="60" spans="2:17" s="14" customFormat="1" ht="15" hidden="1" customHeight="1" outlineLevel="1">
      <c r="B60" s="494" t="s">
        <v>103</v>
      </c>
      <c r="C60" s="878" t="e">
        <f>ПрСбытПрП!#REF!*3%</f>
        <v>#REF!</v>
      </c>
      <c r="D60" s="107" t="e">
        <f>ПрСбытПрП!#REF!*3%</f>
        <v>#REF!</v>
      </c>
      <c r="E60" s="107" t="e">
        <f>ПрСбытПрП!#REF!*3%</f>
        <v>#REF!</v>
      </c>
      <c r="F60" s="107" t="e">
        <f>ПрСбытПрП!#REF!*3%</f>
        <v>#REF!</v>
      </c>
      <c r="G60" s="828" t="e">
        <f>ПрСбытПрП!#REF!*3%</f>
        <v>#REF!</v>
      </c>
      <c r="H60" s="107"/>
      <c r="I60" s="107"/>
      <c r="J60" s="495"/>
      <c r="M60" s="1385" t="e">
        <f>+E60*#REF!</f>
        <v>#REF!</v>
      </c>
      <c r="Q60" s="1385" t="e">
        <f>+I60*#REF!</f>
        <v>#REF!</v>
      </c>
    </row>
    <row r="61" spans="2:17" s="14" customFormat="1" ht="15" hidden="1" customHeight="1">
      <c r="B61" s="498" t="e">
        <f>ПрСбытПрП!#REF!</f>
        <v>#REF!</v>
      </c>
      <c r="C61" s="882" t="e">
        <f>SUM(C62:C67)</f>
        <v>#REF!</v>
      </c>
      <c r="D61" s="106" t="e">
        <f>SUM(D62:D67)</f>
        <v>#REF!</v>
      </c>
      <c r="E61" s="106" t="e">
        <f>SUM(E62:E67)</f>
        <v>#REF!</v>
      </c>
      <c r="F61" s="106" t="e">
        <f>SUM(F62:F67)</f>
        <v>#REF!</v>
      </c>
      <c r="G61" s="827" t="e">
        <f>SUM(G62:G67)</f>
        <v>#REF!</v>
      </c>
      <c r="H61" s="106"/>
      <c r="I61" s="106"/>
      <c r="J61" s="493"/>
      <c r="M61" s="1385" t="e">
        <f>+E61*#REF!</f>
        <v>#REF!</v>
      </c>
      <c r="Q61" s="1385" t="e">
        <f>+I61*#REF!</f>
        <v>#REF!</v>
      </c>
    </row>
    <row r="62" spans="2:17" s="14" customFormat="1" ht="15" hidden="1" customHeight="1" outlineLevel="1">
      <c r="B62" s="494" t="s">
        <v>187</v>
      </c>
      <c r="C62" s="878" t="e">
        <f>ПрСбытПрП!#REF!*40%</f>
        <v>#REF!</v>
      </c>
      <c r="D62" s="107" t="e">
        <f>ПрСбытПрП!#REF!*40%</f>
        <v>#REF!</v>
      </c>
      <c r="E62" s="107" t="e">
        <f>ПрСбытПрП!#REF!*40%</f>
        <v>#REF!</v>
      </c>
      <c r="F62" s="107" t="e">
        <f>ПрСбытПрП!#REF!*40%</f>
        <v>#REF!</v>
      </c>
      <c r="G62" s="828" t="e">
        <f>ПрСбытПрП!#REF!*40%</f>
        <v>#REF!</v>
      </c>
      <c r="H62" s="107"/>
      <c r="I62" s="107"/>
      <c r="J62" s="495"/>
      <c r="M62" s="1385" t="e">
        <f>+E62*#REF!</f>
        <v>#REF!</v>
      </c>
      <c r="Q62" s="1385" t="e">
        <f>+I62*#REF!</f>
        <v>#REF!</v>
      </c>
    </row>
    <row r="63" spans="2:17" s="14" customFormat="1" ht="15" hidden="1" customHeight="1" outlineLevel="1">
      <c r="B63" s="494" t="s">
        <v>188</v>
      </c>
      <c r="C63" s="878">
        <v>0</v>
      </c>
      <c r="D63" s="108">
        <f t="shared" ref="D63:D66" si="21">C63</f>
        <v>0</v>
      </c>
      <c r="E63" s="108">
        <f t="shared" ref="E63:E66" si="22">D63</f>
        <v>0</v>
      </c>
      <c r="F63" s="108">
        <f t="shared" ref="F63:F66" si="23">E63</f>
        <v>0</v>
      </c>
      <c r="G63" s="829">
        <f t="shared" ref="G63:G66" si="24">F63</f>
        <v>0</v>
      </c>
      <c r="H63" s="108"/>
      <c r="I63" s="108"/>
      <c r="J63" s="496"/>
      <c r="M63" s="1385" t="e">
        <f>+E63*#REF!</f>
        <v>#REF!</v>
      </c>
      <c r="Q63" s="1385" t="e">
        <f>+I63*#REF!</f>
        <v>#REF!</v>
      </c>
    </row>
    <row r="64" spans="2:17" s="14" customFormat="1" ht="15" hidden="1" customHeight="1" outlineLevel="1">
      <c r="B64" s="494" t="s">
        <v>189</v>
      </c>
      <c r="C64" s="878">
        <v>0</v>
      </c>
      <c r="D64" s="108">
        <f t="shared" si="21"/>
        <v>0</v>
      </c>
      <c r="E64" s="108">
        <f t="shared" si="22"/>
        <v>0</v>
      </c>
      <c r="F64" s="108">
        <f t="shared" si="23"/>
        <v>0</v>
      </c>
      <c r="G64" s="829">
        <f t="shared" si="24"/>
        <v>0</v>
      </c>
      <c r="H64" s="108"/>
      <c r="I64" s="108"/>
      <c r="J64" s="496"/>
      <c r="M64" s="1385" t="e">
        <f>+E64*#REF!</f>
        <v>#REF!</v>
      </c>
      <c r="Q64" s="1385" t="e">
        <f>+I64*#REF!</f>
        <v>#REF!</v>
      </c>
    </row>
    <row r="65" spans="2:17" s="14" customFormat="1" ht="15" hidden="1" customHeight="1" outlineLevel="1">
      <c r="B65" s="494" t="s">
        <v>190</v>
      </c>
      <c r="C65" s="878">
        <v>0</v>
      </c>
      <c r="D65" s="108">
        <f t="shared" si="21"/>
        <v>0</v>
      </c>
      <c r="E65" s="108">
        <f t="shared" si="22"/>
        <v>0</v>
      </c>
      <c r="F65" s="108">
        <f t="shared" si="23"/>
        <v>0</v>
      </c>
      <c r="G65" s="829">
        <f t="shared" si="24"/>
        <v>0</v>
      </c>
      <c r="H65" s="108"/>
      <c r="I65" s="108"/>
      <c r="J65" s="496"/>
      <c r="M65" s="1385" t="e">
        <f>+E65*#REF!</f>
        <v>#REF!</v>
      </c>
      <c r="Q65" s="1385" t="e">
        <f>+I65*#REF!</f>
        <v>#REF!</v>
      </c>
    </row>
    <row r="66" spans="2:17" s="14" customFormat="1" ht="15" hidden="1" customHeight="1" outlineLevel="1">
      <c r="B66" s="494" t="s">
        <v>191</v>
      </c>
      <c r="C66" s="878">
        <v>0</v>
      </c>
      <c r="D66" s="108">
        <f t="shared" si="21"/>
        <v>0</v>
      </c>
      <c r="E66" s="108">
        <f t="shared" si="22"/>
        <v>0</v>
      </c>
      <c r="F66" s="108">
        <f t="shared" si="23"/>
        <v>0</v>
      </c>
      <c r="G66" s="829">
        <f t="shared" si="24"/>
        <v>0</v>
      </c>
      <c r="H66" s="108"/>
      <c r="I66" s="108"/>
      <c r="J66" s="496"/>
      <c r="M66" s="1385" t="e">
        <f>+E66*#REF!</f>
        <v>#REF!</v>
      </c>
      <c r="Q66" s="1385" t="e">
        <f>+I66*#REF!</f>
        <v>#REF!</v>
      </c>
    </row>
    <row r="67" spans="2:17" s="14" customFormat="1" ht="15" hidden="1" customHeight="1" outlineLevel="1">
      <c r="B67" s="494" t="s">
        <v>103</v>
      </c>
      <c r="C67" s="878" t="e">
        <f>ПрСбытПрП!#REF!*3%</f>
        <v>#REF!</v>
      </c>
      <c r="D67" s="107" t="e">
        <f>ПрСбытПрП!#REF!*3%</f>
        <v>#REF!</v>
      </c>
      <c r="E67" s="107" t="e">
        <f>ПрСбытПрП!#REF!*3%</f>
        <v>#REF!</v>
      </c>
      <c r="F67" s="107" t="e">
        <f>ПрСбытПрП!#REF!*3%</f>
        <v>#REF!</v>
      </c>
      <c r="G67" s="828" t="e">
        <f>ПрСбытПрП!#REF!*3%</f>
        <v>#REF!</v>
      </c>
      <c r="H67" s="107"/>
      <c r="I67" s="107"/>
      <c r="J67" s="495"/>
      <c r="M67" s="1385" t="e">
        <f>+E67*#REF!</f>
        <v>#REF!</v>
      </c>
      <c r="Q67" s="1385" t="e">
        <f>+I67*#REF!</f>
        <v>#REF!</v>
      </c>
    </row>
    <row r="68" spans="2:17" s="14" customFormat="1" ht="15" hidden="1" customHeight="1">
      <c r="B68" s="498" t="e">
        <f>ПрСбытПрП!#REF!</f>
        <v>#REF!</v>
      </c>
      <c r="C68" s="882" t="e">
        <f>SUM(C69:C74)</f>
        <v>#REF!</v>
      </c>
      <c r="D68" s="106" t="e">
        <f>SUM(D69:D74)</f>
        <v>#REF!</v>
      </c>
      <c r="E68" s="106" t="e">
        <f>SUM(E69:E74)</f>
        <v>#REF!</v>
      </c>
      <c r="F68" s="106" t="e">
        <f>SUM(F69:F74)</f>
        <v>#REF!</v>
      </c>
      <c r="G68" s="827" t="e">
        <f>SUM(G69:G74)</f>
        <v>#REF!</v>
      </c>
      <c r="H68" s="106"/>
      <c r="I68" s="106"/>
      <c r="J68" s="493"/>
      <c r="M68" s="1385" t="e">
        <f>+E68*#REF!</f>
        <v>#REF!</v>
      </c>
      <c r="Q68" s="1385" t="e">
        <f>+I68*#REF!</f>
        <v>#REF!</v>
      </c>
    </row>
    <row r="69" spans="2:17" s="14" customFormat="1" ht="15" hidden="1" customHeight="1" outlineLevel="1">
      <c r="B69" s="494" t="s">
        <v>187</v>
      </c>
      <c r="C69" s="878" t="e">
        <f>ПрСбытПрП!#REF!*40%</f>
        <v>#REF!</v>
      </c>
      <c r="D69" s="107" t="e">
        <f>ПрСбытПрП!#REF!*40%</f>
        <v>#REF!</v>
      </c>
      <c r="E69" s="107" t="e">
        <f>ПрСбытПрП!#REF!*40%</f>
        <v>#REF!</v>
      </c>
      <c r="F69" s="107" t="e">
        <f>ПрСбытПрП!#REF!*40%</f>
        <v>#REF!</v>
      </c>
      <c r="G69" s="828" t="e">
        <f>ПрСбытПрП!#REF!*40%</f>
        <v>#REF!</v>
      </c>
      <c r="H69" s="107"/>
      <c r="I69" s="107"/>
      <c r="J69" s="495"/>
      <c r="M69" s="1385" t="e">
        <f>+E69*#REF!</f>
        <v>#REF!</v>
      </c>
      <c r="Q69" s="1385" t="e">
        <f>+I69*#REF!</f>
        <v>#REF!</v>
      </c>
    </row>
    <row r="70" spans="2:17" s="14" customFormat="1" ht="15" hidden="1" customHeight="1" outlineLevel="1">
      <c r="B70" s="494" t="s">
        <v>188</v>
      </c>
      <c r="C70" s="878">
        <v>0</v>
      </c>
      <c r="D70" s="108">
        <f t="shared" ref="D70:D73" si="25">C70</f>
        <v>0</v>
      </c>
      <c r="E70" s="108">
        <f t="shared" ref="E70:E73" si="26">D70</f>
        <v>0</v>
      </c>
      <c r="F70" s="108">
        <f t="shared" ref="F70:F73" si="27">E70</f>
        <v>0</v>
      </c>
      <c r="G70" s="829">
        <f t="shared" ref="G70:G73" si="28">F70</f>
        <v>0</v>
      </c>
      <c r="H70" s="108"/>
      <c r="I70" s="108"/>
      <c r="J70" s="496"/>
      <c r="M70" s="1385" t="e">
        <f>+E70*#REF!</f>
        <v>#REF!</v>
      </c>
      <c r="Q70" s="1385" t="e">
        <f>+I70*#REF!</f>
        <v>#REF!</v>
      </c>
    </row>
    <row r="71" spans="2:17" s="14" customFormat="1" ht="15" hidden="1" customHeight="1" outlineLevel="1">
      <c r="B71" s="494" t="s">
        <v>189</v>
      </c>
      <c r="C71" s="878">
        <v>0</v>
      </c>
      <c r="D71" s="108">
        <f t="shared" si="25"/>
        <v>0</v>
      </c>
      <c r="E71" s="108">
        <f t="shared" si="26"/>
        <v>0</v>
      </c>
      <c r="F71" s="108">
        <f t="shared" si="27"/>
        <v>0</v>
      </c>
      <c r="G71" s="829">
        <f t="shared" si="28"/>
        <v>0</v>
      </c>
      <c r="H71" s="108"/>
      <c r="I71" s="108"/>
      <c r="J71" s="496"/>
      <c r="M71" s="1385" t="e">
        <f>+E71*#REF!</f>
        <v>#REF!</v>
      </c>
      <c r="Q71" s="1385" t="e">
        <f>+I71*#REF!</f>
        <v>#REF!</v>
      </c>
    </row>
    <row r="72" spans="2:17" s="14" customFormat="1" ht="15" hidden="1" customHeight="1" outlineLevel="1">
      <c r="B72" s="494" t="s">
        <v>190</v>
      </c>
      <c r="C72" s="878">
        <v>0</v>
      </c>
      <c r="D72" s="108">
        <f t="shared" si="25"/>
        <v>0</v>
      </c>
      <c r="E72" s="108">
        <f t="shared" si="26"/>
        <v>0</v>
      </c>
      <c r="F72" s="108">
        <f t="shared" si="27"/>
        <v>0</v>
      </c>
      <c r="G72" s="829">
        <f t="shared" si="28"/>
        <v>0</v>
      </c>
      <c r="H72" s="108"/>
      <c r="I72" s="108"/>
      <c r="J72" s="496"/>
      <c r="M72" s="1385" t="e">
        <f>+E72*#REF!</f>
        <v>#REF!</v>
      </c>
      <c r="Q72" s="1385" t="e">
        <f>+I72*#REF!</f>
        <v>#REF!</v>
      </c>
    </row>
    <row r="73" spans="2:17" s="14" customFormat="1" ht="15" hidden="1" customHeight="1" outlineLevel="1">
      <c r="B73" s="494" t="s">
        <v>191</v>
      </c>
      <c r="C73" s="878">
        <v>0</v>
      </c>
      <c r="D73" s="108">
        <f t="shared" si="25"/>
        <v>0</v>
      </c>
      <c r="E73" s="108">
        <f t="shared" si="26"/>
        <v>0</v>
      </c>
      <c r="F73" s="108">
        <f t="shared" si="27"/>
        <v>0</v>
      </c>
      <c r="G73" s="829">
        <f t="shared" si="28"/>
        <v>0</v>
      </c>
      <c r="H73" s="108"/>
      <c r="I73" s="108"/>
      <c r="J73" s="496"/>
      <c r="M73" s="1385" t="e">
        <f>+E73*#REF!</f>
        <v>#REF!</v>
      </c>
      <c r="Q73" s="1385" t="e">
        <f>+I73*#REF!</f>
        <v>#REF!</v>
      </c>
    </row>
    <row r="74" spans="2:17" s="14" customFormat="1" ht="15" hidden="1" customHeight="1" outlineLevel="1">
      <c r="B74" s="494" t="s">
        <v>103</v>
      </c>
      <c r="C74" s="878" t="e">
        <f>ПрСбытПрП!#REF!*3%</f>
        <v>#REF!</v>
      </c>
      <c r="D74" s="107" t="e">
        <f>ПрСбытПрП!#REF!*3%</f>
        <v>#REF!</v>
      </c>
      <c r="E74" s="107" t="e">
        <f>ПрСбытПрП!#REF!*3%</f>
        <v>#REF!</v>
      </c>
      <c r="F74" s="107" t="e">
        <f>ПрСбытПрП!#REF!*3%</f>
        <v>#REF!</v>
      </c>
      <c r="G74" s="828" t="e">
        <f>ПрСбытПрП!#REF!*3%</f>
        <v>#REF!</v>
      </c>
      <c r="H74" s="107"/>
      <c r="I74" s="107"/>
      <c r="J74" s="495"/>
      <c r="M74" s="1385" t="e">
        <f>+E74*#REF!</f>
        <v>#REF!</v>
      </c>
      <c r="Q74" s="1385" t="e">
        <f>+I74*#REF!</f>
        <v>#REF!</v>
      </c>
    </row>
    <row r="75" spans="2:17" s="14" customFormat="1" ht="15" hidden="1" customHeight="1">
      <c r="B75" s="498" t="e">
        <f>ПрСбытПрП!#REF!</f>
        <v>#REF!</v>
      </c>
      <c r="C75" s="882" t="e">
        <f>SUM(C76:C81)</f>
        <v>#REF!</v>
      </c>
      <c r="D75" s="106" t="e">
        <f>SUM(D76:D81)</f>
        <v>#REF!</v>
      </c>
      <c r="E75" s="106" t="e">
        <f>SUM(E76:E81)</f>
        <v>#REF!</v>
      </c>
      <c r="F75" s="106" t="e">
        <f>SUM(F76:F81)</f>
        <v>#REF!</v>
      </c>
      <c r="G75" s="827" t="e">
        <f>SUM(G76:G81)</f>
        <v>#REF!</v>
      </c>
      <c r="H75" s="106"/>
      <c r="I75" s="106"/>
      <c r="J75" s="493"/>
      <c r="M75" s="1385" t="e">
        <f>+E75*#REF!</f>
        <v>#REF!</v>
      </c>
      <c r="Q75" s="1385" t="e">
        <f>+I75*#REF!</f>
        <v>#REF!</v>
      </c>
    </row>
    <row r="76" spans="2:17" s="14" customFormat="1" ht="15" hidden="1" customHeight="1" outlineLevel="1">
      <c r="B76" s="494" t="s">
        <v>187</v>
      </c>
      <c r="C76" s="878" t="e">
        <f>ПрСбытПрП!#REF!*40%</f>
        <v>#REF!</v>
      </c>
      <c r="D76" s="107" t="e">
        <f>ПрСбытПрП!#REF!*40%</f>
        <v>#REF!</v>
      </c>
      <c r="E76" s="107" t="e">
        <f>ПрСбытПрП!#REF!*40%</f>
        <v>#REF!</v>
      </c>
      <c r="F76" s="107" t="e">
        <f>ПрСбытПрП!#REF!*40%</f>
        <v>#REF!</v>
      </c>
      <c r="G76" s="828" t="e">
        <f>ПрСбытПрП!#REF!*40%</f>
        <v>#REF!</v>
      </c>
      <c r="H76" s="107"/>
      <c r="I76" s="107"/>
      <c r="J76" s="495"/>
      <c r="M76" s="1385" t="e">
        <f>+E76*#REF!</f>
        <v>#REF!</v>
      </c>
      <c r="Q76" s="1385" t="e">
        <f>+I76*#REF!</f>
        <v>#REF!</v>
      </c>
    </row>
    <row r="77" spans="2:17" s="14" customFormat="1" ht="15" hidden="1" customHeight="1" outlineLevel="1">
      <c r="B77" s="494" t="s">
        <v>188</v>
      </c>
      <c r="C77" s="878">
        <v>0</v>
      </c>
      <c r="D77" s="108">
        <f t="shared" ref="D77:D80" si="29">C77</f>
        <v>0</v>
      </c>
      <c r="E77" s="108">
        <f t="shared" ref="E77:E80" si="30">D77</f>
        <v>0</v>
      </c>
      <c r="F77" s="108">
        <f t="shared" ref="F77:F80" si="31">E77</f>
        <v>0</v>
      </c>
      <c r="G77" s="829">
        <f t="shared" ref="G77:G80" si="32">F77</f>
        <v>0</v>
      </c>
      <c r="H77" s="108"/>
      <c r="I77" s="108"/>
      <c r="J77" s="496"/>
      <c r="M77" s="1385" t="e">
        <f>+E77*#REF!</f>
        <v>#REF!</v>
      </c>
      <c r="Q77" s="1385" t="e">
        <f>+I77*#REF!</f>
        <v>#REF!</v>
      </c>
    </row>
    <row r="78" spans="2:17" s="14" customFormat="1" ht="15" hidden="1" customHeight="1" outlineLevel="1">
      <c r="B78" s="494" t="s">
        <v>189</v>
      </c>
      <c r="C78" s="878">
        <v>0</v>
      </c>
      <c r="D78" s="108">
        <f t="shared" si="29"/>
        <v>0</v>
      </c>
      <c r="E78" s="108">
        <f t="shared" si="30"/>
        <v>0</v>
      </c>
      <c r="F78" s="108">
        <f t="shared" si="31"/>
        <v>0</v>
      </c>
      <c r="G78" s="829">
        <f t="shared" si="32"/>
        <v>0</v>
      </c>
      <c r="H78" s="108"/>
      <c r="I78" s="108"/>
      <c r="J78" s="496"/>
      <c r="M78" s="1385" t="e">
        <f>+E78*#REF!</f>
        <v>#REF!</v>
      </c>
      <c r="Q78" s="1385" t="e">
        <f>+I78*#REF!</f>
        <v>#REF!</v>
      </c>
    </row>
    <row r="79" spans="2:17" s="14" customFormat="1" ht="15" hidden="1" customHeight="1" outlineLevel="1">
      <c r="B79" s="494" t="s">
        <v>190</v>
      </c>
      <c r="C79" s="878">
        <v>0</v>
      </c>
      <c r="D79" s="108">
        <f t="shared" si="29"/>
        <v>0</v>
      </c>
      <c r="E79" s="108">
        <f t="shared" si="30"/>
        <v>0</v>
      </c>
      <c r="F79" s="108">
        <f t="shared" si="31"/>
        <v>0</v>
      </c>
      <c r="G79" s="829">
        <f t="shared" si="32"/>
        <v>0</v>
      </c>
      <c r="H79" s="108"/>
      <c r="I79" s="108"/>
      <c r="J79" s="496"/>
      <c r="M79" s="1385" t="e">
        <f>+E79*#REF!</f>
        <v>#REF!</v>
      </c>
      <c r="Q79" s="1385" t="e">
        <f>+I79*#REF!</f>
        <v>#REF!</v>
      </c>
    </row>
    <row r="80" spans="2:17" s="14" customFormat="1" ht="15" hidden="1" customHeight="1" outlineLevel="1">
      <c r="B80" s="494" t="s">
        <v>191</v>
      </c>
      <c r="C80" s="878">
        <v>0</v>
      </c>
      <c r="D80" s="108">
        <f t="shared" si="29"/>
        <v>0</v>
      </c>
      <c r="E80" s="108">
        <f t="shared" si="30"/>
        <v>0</v>
      </c>
      <c r="F80" s="108">
        <f t="shared" si="31"/>
        <v>0</v>
      </c>
      <c r="G80" s="829">
        <f t="shared" si="32"/>
        <v>0</v>
      </c>
      <c r="H80" s="108"/>
      <c r="I80" s="108"/>
      <c r="J80" s="496"/>
      <c r="M80" s="1385" t="e">
        <f>+E80*#REF!</f>
        <v>#REF!</v>
      </c>
      <c r="Q80" s="1385" t="e">
        <f>+I80*#REF!</f>
        <v>#REF!</v>
      </c>
    </row>
    <row r="81" spans="2:17" s="14" customFormat="1" ht="15" hidden="1" customHeight="1" outlineLevel="1">
      <c r="B81" s="494" t="s">
        <v>103</v>
      </c>
      <c r="C81" s="878" t="e">
        <f>ПрСбытПрП!#REF!*3%</f>
        <v>#REF!</v>
      </c>
      <c r="D81" s="107" t="e">
        <f>ПрСбытПрП!#REF!*3%</f>
        <v>#REF!</v>
      </c>
      <c r="E81" s="107" t="e">
        <f>ПрСбытПрП!#REF!*3%</f>
        <v>#REF!</v>
      </c>
      <c r="F81" s="107" t="e">
        <f>ПрСбытПрП!#REF!*3%</f>
        <v>#REF!</v>
      </c>
      <c r="G81" s="828" t="e">
        <f>ПрСбытПрП!#REF!*3%</f>
        <v>#REF!</v>
      </c>
      <c r="H81" s="107"/>
      <c r="I81" s="107"/>
      <c r="J81" s="495"/>
      <c r="M81" s="1385" t="e">
        <f>+E81*#REF!</f>
        <v>#REF!</v>
      </c>
      <c r="Q81" s="1385" t="e">
        <f>+I81*#REF!</f>
        <v>#REF!</v>
      </c>
    </row>
    <row r="82" spans="2:17" s="14" customFormat="1" ht="15" hidden="1" customHeight="1">
      <c r="B82" s="498" t="e">
        <f>ПрСбытПрП!#REF!</f>
        <v>#REF!</v>
      </c>
      <c r="C82" s="882" t="e">
        <f>SUM(C83:C88)</f>
        <v>#REF!</v>
      </c>
      <c r="D82" s="106" t="e">
        <f>SUM(D83:D88)</f>
        <v>#REF!</v>
      </c>
      <c r="E82" s="106" t="e">
        <f>SUM(E83:E88)</f>
        <v>#REF!</v>
      </c>
      <c r="F82" s="106" t="e">
        <f>SUM(F83:F88)</f>
        <v>#REF!</v>
      </c>
      <c r="G82" s="827" t="e">
        <f>SUM(G83:G88)</f>
        <v>#REF!</v>
      </c>
      <c r="H82" s="106"/>
      <c r="I82" s="106"/>
      <c r="J82" s="493"/>
      <c r="M82" s="1385" t="e">
        <f>+E82*#REF!</f>
        <v>#REF!</v>
      </c>
      <c r="Q82" s="1385" t="e">
        <f>+I82*#REF!</f>
        <v>#REF!</v>
      </c>
    </row>
    <row r="83" spans="2:17" s="14" customFormat="1" ht="15" hidden="1" customHeight="1" outlineLevel="1">
      <c r="B83" s="494" t="s">
        <v>187</v>
      </c>
      <c r="C83" s="878" t="e">
        <f>ПрСбытПрП!#REF!*40%</f>
        <v>#REF!</v>
      </c>
      <c r="D83" s="108" t="e">
        <f>ПрСбытПрП!#REF!*40%</f>
        <v>#REF!</v>
      </c>
      <c r="E83" s="108" t="e">
        <f>ПрСбытПрП!#REF!*40%</f>
        <v>#REF!</v>
      </c>
      <c r="F83" s="108" t="e">
        <f>ПрСбытПрП!#REF!*40%</f>
        <v>#REF!</v>
      </c>
      <c r="G83" s="829" t="e">
        <f>ПрСбытПрП!#REF!*40%</f>
        <v>#REF!</v>
      </c>
      <c r="H83" s="108"/>
      <c r="I83" s="108"/>
      <c r="J83" s="496"/>
      <c r="M83" s="1385" t="e">
        <f>+E83*#REF!</f>
        <v>#REF!</v>
      </c>
      <c r="Q83" s="1385" t="e">
        <f>+I83*#REF!</f>
        <v>#REF!</v>
      </c>
    </row>
    <row r="84" spans="2:17" s="14" customFormat="1" ht="15" hidden="1" customHeight="1" outlineLevel="1">
      <c r="B84" s="494" t="s">
        <v>188</v>
      </c>
      <c r="C84" s="878">
        <v>0</v>
      </c>
      <c r="D84" s="108">
        <f t="shared" ref="D84:D87" si="33">C84</f>
        <v>0</v>
      </c>
      <c r="E84" s="108">
        <f t="shared" ref="E84:E87" si="34">D84</f>
        <v>0</v>
      </c>
      <c r="F84" s="108">
        <f t="shared" ref="F84:F87" si="35">E84</f>
        <v>0</v>
      </c>
      <c r="G84" s="829">
        <f t="shared" ref="G84:G87" si="36">F84</f>
        <v>0</v>
      </c>
      <c r="H84" s="108"/>
      <c r="I84" s="108"/>
      <c r="J84" s="496"/>
      <c r="M84" s="1385" t="e">
        <f>+E84*#REF!</f>
        <v>#REF!</v>
      </c>
      <c r="Q84" s="1385" t="e">
        <f>+I84*#REF!</f>
        <v>#REF!</v>
      </c>
    </row>
    <row r="85" spans="2:17" s="14" customFormat="1" ht="15" hidden="1" customHeight="1" outlineLevel="1">
      <c r="B85" s="494" t="s">
        <v>189</v>
      </c>
      <c r="C85" s="878">
        <v>0</v>
      </c>
      <c r="D85" s="108">
        <f t="shared" si="33"/>
        <v>0</v>
      </c>
      <c r="E85" s="108">
        <f t="shared" si="34"/>
        <v>0</v>
      </c>
      <c r="F85" s="108">
        <f t="shared" si="35"/>
        <v>0</v>
      </c>
      <c r="G85" s="829">
        <f t="shared" si="36"/>
        <v>0</v>
      </c>
      <c r="H85" s="108"/>
      <c r="I85" s="108"/>
      <c r="J85" s="496"/>
      <c r="M85" s="1385" t="e">
        <f>+E85*#REF!</f>
        <v>#REF!</v>
      </c>
      <c r="Q85" s="1385" t="e">
        <f>+I85*#REF!</f>
        <v>#REF!</v>
      </c>
    </row>
    <row r="86" spans="2:17" s="14" customFormat="1" ht="15" hidden="1" customHeight="1" outlineLevel="1">
      <c r="B86" s="494" t="s">
        <v>190</v>
      </c>
      <c r="C86" s="878">
        <v>0</v>
      </c>
      <c r="D86" s="108">
        <f t="shared" si="33"/>
        <v>0</v>
      </c>
      <c r="E86" s="108">
        <f t="shared" si="34"/>
        <v>0</v>
      </c>
      <c r="F86" s="108">
        <f t="shared" si="35"/>
        <v>0</v>
      </c>
      <c r="G86" s="829">
        <f t="shared" si="36"/>
        <v>0</v>
      </c>
      <c r="H86" s="108"/>
      <c r="I86" s="108"/>
      <c r="J86" s="496"/>
      <c r="M86" s="1385" t="e">
        <f>+E86*#REF!</f>
        <v>#REF!</v>
      </c>
      <c r="Q86" s="1385" t="e">
        <f>+I86*#REF!</f>
        <v>#REF!</v>
      </c>
    </row>
    <row r="87" spans="2:17" s="14" customFormat="1" ht="15" hidden="1" customHeight="1" outlineLevel="1">
      <c r="B87" s="494" t="s">
        <v>191</v>
      </c>
      <c r="C87" s="878">
        <v>0</v>
      </c>
      <c r="D87" s="108">
        <f t="shared" si="33"/>
        <v>0</v>
      </c>
      <c r="E87" s="108">
        <f t="shared" si="34"/>
        <v>0</v>
      </c>
      <c r="F87" s="108">
        <f t="shared" si="35"/>
        <v>0</v>
      </c>
      <c r="G87" s="829">
        <f t="shared" si="36"/>
        <v>0</v>
      </c>
      <c r="H87" s="108"/>
      <c r="I87" s="108"/>
      <c r="J87" s="496"/>
      <c r="M87" s="1385" t="e">
        <f>+E87*#REF!</f>
        <v>#REF!</v>
      </c>
      <c r="Q87" s="1385" t="e">
        <f>+I87*#REF!</f>
        <v>#REF!</v>
      </c>
    </row>
    <row r="88" spans="2:17" s="14" customFormat="1" ht="15" hidden="1" customHeight="1" outlineLevel="1">
      <c r="B88" s="494" t="s">
        <v>103</v>
      </c>
      <c r="C88" s="878" t="e">
        <f>ПрСбытПрП!#REF!*5%</f>
        <v>#REF!</v>
      </c>
      <c r="D88" s="108" t="e">
        <f>C88</f>
        <v>#REF!</v>
      </c>
      <c r="E88" s="108" t="e">
        <f>D88</f>
        <v>#REF!</v>
      </c>
      <c r="F88" s="108" t="e">
        <f>E88</f>
        <v>#REF!</v>
      </c>
      <c r="G88" s="829" t="e">
        <f>F88</f>
        <v>#REF!</v>
      </c>
      <c r="H88" s="108"/>
      <c r="I88" s="108"/>
      <c r="J88" s="496"/>
      <c r="M88" s="1385" t="e">
        <f>+E88*#REF!</f>
        <v>#REF!</v>
      </c>
      <c r="Q88" s="1385" t="e">
        <f>+I88*#REF!</f>
        <v>#REF!</v>
      </c>
    </row>
    <row r="89" spans="2:17" s="14" customFormat="1" ht="15" hidden="1" customHeight="1">
      <c r="B89" s="498" t="e">
        <f>ПрСбытПрП!#REF!</f>
        <v>#REF!</v>
      </c>
      <c r="C89" s="882" t="e">
        <f>SUM(C90:C95)</f>
        <v>#REF!</v>
      </c>
      <c r="D89" s="106" t="e">
        <f>SUM(D90:D95)</f>
        <v>#REF!</v>
      </c>
      <c r="E89" s="106" t="e">
        <f>SUM(E90:E95)</f>
        <v>#REF!</v>
      </c>
      <c r="F89" s="106" t="e">
        <f>SUM(F90:F95)</f>
        <v>#REF!</v>
      </c>
      <c r="G89" s="827" t="e">
        <f>SUM(G90:G95)</f>
        <v>#REF!</v>
      </c>
      <c r="H89" s="106"/>
      <c r="I89" s="106"/>
      <c r="J89" s="493"/>
      <c r="M89" s="1385" t="e">
        <f>+E89*#REF!</f>
        <v>#REF!</v>
      </c>
      <c r="Q89" s="1385" t="e">
        <f>+I89*#REF!</f>
        <v>#REF!</v>
      </c>
    </row>
    <row r="90" spans="2:17" s="14" customFormat="1" ht="15" hidden="1" customHeight="1" outlineLevel="1">
      <c r="B90" s="494" t="s">
        <v>187</v>
      </c>
      <c r="C90" s="878" t="e">
        <f>ПрСбытПрП!#REF!*40%</f>
        <v>#REF!</v>
      </c>
      <c r="D90" s="108" t="e">
        <f>ПрСбытПрП!#REF!*40%</f>
        <v>#REF!</v>
      </c>
      <c r="E90" s="108" t="e">
        <f>ПрСбытПрП!#REF!*40%</f>
        <v>#REF!</v>
      </c>
      <c r="F90" s="108" t="e">
        <f>ПрСбытПрП!#REF!*40%</f>
        <v>#REF!</v>
      </c>
      <c r="G90" s="829" t="e">
        <f>ПрСбытПрП!#REF!*40%</f>
        <v>#REF!</v>
      </c>
      <c r="H90" s="108"/>
      <c r="I90" s="108"/>
      <c r="J90" s="496"/>
      <c r="M90" s="1385" t="e">
        <f>+E90*#REF!</f>
        <v>#REF!</v>
      </c>
      <c r="Q90" s="1385" t="e">
        <f>+I90*#REF!</f>
        <v>#REF!</v>
      </c>
    </row>
    <row r="91" spans="2:17" s="14" customFormat="1" ht="15" hidden="1" customHeight="1" outlineLevel="1">
      <c r="B91" s="494" t="s">
        <v>188</v>
      </c>
      <c r="C91" s="878">
        <v>0</v>
      </c>
      <c r="D91" s="108">
        <f t="shared" ref="D91:D94" si="37">C91</f>
        <v>0</v>
      </c>
      <c r="E91" s="108">
        <f t="shared" ref="E91:E94" si="38">D91</f>
        <v>0</v>
      </c>
      <c r="F91" s="108">
        <f t="shared" ref="F91:F94" si="39">E91</f>
        <v>0</v>
      </c>
      <c r="G91" s="829">
        <f t="shared" ref="G91:G94" si="40">F91</f>
        <v>0</v>
      </c>
      <c r="H91" s="108"/>
      <c r="I91" s="108"/>
      <c r="J91" s="496"/>
      <c r="M91" s="1385" t="e">
        <f>+E91*#REF!</f>
        <v>#REF!</v>
      </c>
      <c r="Q91" s="1385" t="e">
        <f>+I91*#REF!</f>
        <v>#REF!</v>
      </c>
    </row>
    <row r="92" spans="2:17" s="14" customFormat="1" ht="15" hidden="1" customHeight="1" outlineLevel="1">
      <c r="B92" s="494" t="s">
        <v>189</v>
      </c>
      <c r="C92" s="878">
        <v>0</v>
      </c>
      <c r="D92" s="108">
        <f t="shared" si="37"/>
        <v>0</v>
      </c>
      <c r="E92" s="108">
        <f t="shared" si="38"/>
        <v>0</v>
      </c>
      <c r="F92" s="108">
        <f t="shared" si="39"/>
        <v>0</v>
      </c>
      <c r="G92" s="829">
        <f t="shared" si="40"/>
        <v>0</v>
      </c>
      <c r="H92" s="108"/>
      <c r="I92" s="108"/>
      <c r="J92" s="496"/>
      <c r="M92" s="1385" t="e">
        <f>+E92*#REF!</f>
        <v>#REF!</v>
      </c>
      <c r="Q92" s="1385" t="e">
        <f>+I92*#REF!</f>
        <v>#REF!</v>
      </c>
    </row>
    <row r="93" spans="2:17" s="14" customFormat="1" ht="15" hidden="1" customHeight="1" outlineLevel="1">
      <c r="B93" s="494" t="s">
        <v>190</v>
      </c>
      <c r="C93" s="878">
        <v>0</v>
      </c>
      <c r="D93" s="108">
        <f t="shared" si="37"/>
        <v>0</v>
      </c>
      <c r="E93" s="108">
        <f t="shared" si="38"/>
        <v>0</v>
      </c>
      <c r="F93" s="108">
        <f t="shared" si="39"/>
        <v>0</v>
      </c>
      <c r="G93" s="829">
        <f t="shared" si="40"/>
        <v>0</v>
      </c>
      <c r="H93" s="108"/>
      <c r="I93" s="108"/>
      <c r="J93" s="496"/>
      <c r="M93" s="1385" t="e">
        <f>+E93*#REF!</f>
        <v>#REF!</v>
      </c>
      <c r="Q93" s="1385" t="e">
        <f>+I93*#REF!</f>
        <v>#REF!</v>
      </c>
    </row>
    <row r="94" spans="2:17" s="14" customFormat="1" ht="15" hidden="1" customHeight="1" outlineLevel="1">
      <c r="B94" s="494" t="s">
        <v>191</v>
      </c>
      <c r="C94" s="878">
        <v>0</v>
      </c>
      <c r="D94" s="108">
        <f t="shared" si="37"/>
        <v>0</v>
      </c>
      <c r="E94" s="108">
        <f t="shared" si="38"/>
        <v>0</v>
      </c>
      <c r="F94" s="108">
        <f t="shared" si="39"/>
        <v>0</v>
      </c>
      <c r="G94" s="829">
        <f t="shared" si="40"/>
        <v>0</v>
      </c>
      <c r="H94" s="108"/>
      <c r="I94" s="108"/>
      <c r="J94" s="496"/>
      <c r="M94" s="1385" t="e">
        <f>+E94*#REF!</f>
        <v>#REF!</v>
      </c>
      <c r="Q94" s="1385" t="e">
        <f>+I94*#REF!</f>
        <v>#REF!</v>
      </c>
    </row>
    <row r="95" spans="2:17" s="14" customFormat="1" ht="15" hidden="1" customHeight="1" outlineLevel="1">
      <c r="B95" s="494" t="s">
        <v>103</v>
      </c>
      <c r="C95" s="878" t="e">
        <f>ПрСбытПрП!#REF!*4%</f>
        <v>#REF!</v>
      </c>
      <c r="D95" s="108" t="e">
        <f>ПрСбытПрП!#REF!*4%</f>
        <v>#REF!</v>
      </c>
      <c r="E95" s="108" t="e">
        <f>ПрСбытПрП!#REF!*4%</f>
        <v>#REF!</v>
      </c>
      <c r="F95" s="108" t="e">
        <f>ПрСбытПрП!#REF!*4%</f>
        <v>#REF!</v>
      </c>
      <c r="G95" s="829" t="e">
        <f>ПрСбытПрП!#REF!*4%</f>
        <v>#REF!</v>
      </c>
      <c r="H95" s="108"/>
      <c r="I95" s="108"/>
      <c r="J95" s="496"/>
      <c r="M95" s="1385" t="e">
        <f>+E95*#REF!</f>
        <v>#REF!</v>
      </c>
      <c r="Q95" s="1385" t="e">
        <f>+I95*#REF!</f>
        <v>#REF!</v>
      </c>
    </row>
    <row r="96" spans="2:17" s="14" customFormat="1" ht="15" hidden="1" customHeight="1">
      <c r="B96" s="498" t="e">
        <f>ПрСбытПрП!#REF!</f>
        <v>#REF!</v>
      </c>
      <c r="C96" s="882" t="e">
        <f>SUM(C97:C102)</f>
        <v>#REF!</v>
      </c>
      <c r="D96" s="106" t="e">
        <f>SUM(D97:D102)</f>
        <v>#REF!</v>
      </c>
      <c r="E96" s="106" t="e">
        <f>SUM(E97:E102)</f>
        <v>#REF!</v>
      </c>
      <c r="F96" s="106" t="e">
        <f>SUM(F97:F102)</f>
        <v>#REF!</v>
      </c>
      <c r="G96" s="827" t="e">
        <f>SUM(G97:G102)</f>
        <v>#REF!</v>
      </c>
      <c r="H96" s="106"/>
      <c r="I96" s="106"/>
      <c r="J96" s="493"/>
      <c r="M96" s="1385" t="e">
        <f>+E96*#REF!</f>
        <v>#REF!</v>
      </c>
      <c r="Q96" s="1385" t="e">
        <f>+I96*#REF!</f>
        <v>#REF!</v>
      </c>
    </row>
    <row r="97" spans="2:17" s="14" customFormat="1" ht="15" hidden="1" customHeight="1" outlineLevel="1">
      <c r="B97" s="494" t="s">
        <v>187</v>
      </c>
      <c r="C97" s="878" t="e">
        <f>ПрСбытПрП!#REF!*40%</f>
        <v>#REF!</v>
      </c>
      <c r="D97" s="108" t="e">
        <f>ПрСбытПрП!#REF!*40%</f>
        <v>#REF!</v>
      </c>
      <c r="E97" s="108" t="e">
        <f>ПрСбытПрП!#REF!*40%</f>
        <v>#REF!</v>
      </c>
      <c r="F97" s="108" t="e">
        <f>ПрСбытПрП!#REF!*40%</f>
        <v>#REF!</v>
      </c>
      <c r="G97" s="829" t="e">
        <f>ПрСбытПрП!#REF!*40%</f>
        <v>#REF!</v>
      </c>
      <c r="H97" s="108"/>
      <c r="I97" s="108"/>
      <c r="J97" s="496"/>
      <c r="M97" s="1385" t="e">
        <f>+E97*#REF!</f>
        <v>#REF!</v>
      </c>
      <c r="Q97" s="1385" t="e">
        <f>+I97*#REF!</f>
        <v>#REF!</v>
      </c>
    </row>
    <row r="98" spans="2:17" s="14" customFormat="1" ht="15" hidden="1" customHeight="1" outlineLevel="1">
      <c r="B98" s="494" t="s">
        <v>188</v>
      </c>
      <c r="C98" s="878">
        <v>0</v>
      </c>
      <c r="D98" s="108">
        <f t="shared" ref="D98:D101" si="41">C98</f>
        <v>0</v>
      </c>
      <c r="E98" s="108">
        <f t="shared" ref="E98:E101" si="42">D98</f>
        <v>0</v>
      </c>
      <c r="F98" s="108">
        <f t="shared" ref="F98:F101" si="43">E98</f>
        <v>0</v>
      </c>
      <c r="G98" s="829">
        <f t="shared" ref="G98:G101" si="44">F98</f>
        <v>0</v>
      </c>
      <c r="H98" s="108"/>
      <c r="I98" s="108"/>
      <c r="J98" s="496"/>
      <c r="M98" s="1385" t="e">
        <f>+E98*#REF!</f>
        <v>#REF!</v>
      </c>
      <c r="Q98" s="1385" t="e">
        <f>+I98*#REF!</f>
        <v>#REF!</v>
      </c>
    </row>
    <row r="99" spans="2:17" s="14" customFormat="1" ht="15" hidden="1" customHeight="1" outlineLevel="1">
      <c r="B99" s="494" t="s">
        <v>189</v>
      </c>
      <c r="C99" s="878">
        <v>0</v>
      </c>
      <c r="D99" s="108">
        <f t="shared" si="41"/>
        <v>0</v>
      </c>
      <c r="E99" s="108">
        <f t="shared" si="42"/>
        <v>0</v>
      </c>
      <c r="F99" s="108">
        <f t="shared" si="43"/>
        <v>0</v>
      </c>
      <c r="G99" s="829">
        <f t="shared" si="44"/>
        <v>0</v>
      </c>
      <c r="H99" s="108"/>
      <c r="I99" s="108"/>
      <c r="J99" s="496"/>
      <c r="M99" s="1385" t="e">
        <f>+E99*#REF!</f>
        <v>#REF!</v>
      </c>
      <c r="Q99" s="1385" t="e">
        <f>+I99*#REF!</f>
        <v>#REF!</v>
      </c>
    </row>
    <row r="100" spans="2:17" s="14" customFormat="1" ht="15" hidden="1" customHeight="1" outlineLevel="1">
      <c r="B100" s="494" t="s">
        <v>190</v>
      </c>
      <c r="C100" s="878">
        <v>0</v>
      </c>
      <c r="D100" s="108">
        <f t="shared" si="41"/>
        <v>0</v>
      </c>
      <c r="E100" s="108">
        <f t="shared" si="42"/>
        <v>0</v>
      </c>
      <c r="F100" s="108">
        <f t="shared" si="43"/>
        <v>0</v>
      </c>
      <c r="G100" s="829">
        <f t="shared" si="44"/>
        <v>0</v>
      </c>
      <c r="H100" s="108"/>
      <c r="I100" s="108"/>
      <c r="J100" s="496"/>
      <c r="M100" s="1385" t="e">
        <f>+E100*#REF!</f>
        <v>#REF!</v>
      </c>
      <c r="Q100" s="1385" t="e">
        <f>+I100*#REF!</f>
        <v>#REF!</v>
      </c>
    </row>
    <row r="101" spans="2:17" s="14" customFormat="1" ht="15" hidden="1" customHeight="1" outlineLevel="1">
      <c r="B101" s="494" t="s">
        <v>191</v>
      </c>
      <c r="C101" s="878">
        <v>0</v>
      </c>
      <c r="D101" s="108">
        <f t="shared" si="41"/>
        <v>0</v>
      </c>
      <c r="E101" s="108">
        <f t="shared" si="42"/>
        <v>0</v>
      </c>
      <c r="F101" s="108">
        <f t="shared" si="43"/>
        <v>0</v>
      </c>
      <c r="G101" s="829">
        <f t="shared" si="44"/>
        <v>0</v>
      </c>
      <c r="H101" s="108"/>
      <c r="I101" s="108"/>
      <c r="J101" s="496"/>
      <c r="M101" s="1385" t="e">
        <f>+E101*#REF!</f>
        <v>#REF!</v>
      </c>
      <c r="Q101" s="1385" t="e">
        <f>+I101*#REF!</f>
        <v>#REF!</v>
      </c>
    </row>
    <row r="102" spans="2:17" s="14" customFormat="1" ht="15" hidden="1" customHeight="1" outlineLevel="1">
      <c r="B102" s="494" t="s">
        <v>103</v>
      </c>
      <c r="C102" s="878" t="e">
        <f>ПрСбытПрП!#REF!*4%</f>
        <v>#REF!</v>
      </c>
      <c r="D102" s="108" t="e">
        <f>ПрСбытПрП!#REF!*4%</f>
        <v>#REF!</v>
      </c>
      <c r="E102" s="108" t="e">
        <f>ПрСбытПрП!#REF!*4%</f>
        <v>#REF!</v>
      </c>
      <c r="F102" s="108" t="e">
        <f>ПрСбытПрП!#REF!*4%</f>
        <v>#REF!</v>
      </c>
      <c r="G102" s="829" t="e">
        <f>ПрСбытПрП!#REF!*4%</f>
        <v>#REF!</v>
      </c>
      <c r="H102" s="108"/>
      <c r="I102" s="108"/>
      <c r="J102" s="496"/>
      <c r="M102" s="1385" t="e">
        <f>+E102*#REF!</f>
        <v>#REF!</v>
      </c>
      <c r="Q102" s="1385" t="e">
        <f>+I102*#REF!</f>
        <v>#REF!</v>
      </c>
    </row>
    <row r="103" spans="2:17" s="14" customFormat="1" ht="15" hidden="1" customHeight="1">
      <c r="B103" s="498" t="e">
        <f>ПрСбытПрП!#REF!</f>
        <v>#REF!</v>
      </c>
      <c r="C103" s="882" t="e">
        <f>SUM(C104:C109)</f>
        <v>#REF!</v>
      </c>
      <c r="D103" s="106" t="e">
        <f>SUM(D104:D109)</f>
        <v>#REF!</v>
      </c>
      <c r="E103" s="106" t="e">
        <f>SUM(E104:E109)</f>
        <v>#REF!</v>
      </c>
      <c r="F103" s="106" t="e">
        <f>SUM(F104:F109)</f>
        <v>#REF!</v>
      </c>
      <c r="G103" s="827" t="e">
        <f>SUM(G104:G109)</f>
        <v>#REF!</v>
      </c>
      <c r="H103" s="106"/>
      <c r="I103" s="106"/>
      <c r="J103" s="493"/>
      <c r="M103" s="1385" t="e">
        <f>+E103*#REF!</f>
        <v>#REF!</v>
      </c>
      <c r="Q103" s="1385" t="e">
        <f>+I103*#REF!</f>
        <v>#REF!</v>
      </c>
    </row>
    <row r="104" spans="2:17" s="14" customFormat="1" ht="15" hidden="1" customHeight="1" outlineLevel="1">
      <c r="B104" s="494" t="s">
        <v>187</v>
      </c>
      <c r="C104" s="878" t="e">
        <f>ПрСбытПрП!#REF!*40%</f>
        <v>#REF!</v>
      </c>
      <c r="D104" s="108" t="e">
        <f>ПрСбытПрП!#REF!*40%</f>
        <v>#REF!</v>
      </c>
      <c r="E104" s="108" t="e">
        <f>ПрСбытПрП!#REF!*40%</f>
        <v>#REF!</v>
      </c>
      <c r="F104" s="108" t="e">
        <f>ПрСбытПрП!#REF!*40%</f>
        <v>#REF!</v>
      </c>
      <c r="G104" s="829" t="e">
        <f>ПрСбытПрП!#REF!*40%</f>
        <v>#REF!</v>
      </c>
      <c r="H104" s="108"/>
      <c r="I104" s="108"/>
      <c r="J104" s="496"/>
      <c r="M104" s="1385" t="e">
        <f>+E104*#REF!</f>
        <v>#REF!</v>
      </c>
      <c r="Q104" s="1385" t="e">
        <f>+I104*#REF!</f>
        <v>#REF!</v>
      </c>
    </row>
    <row r="105" spans="2:17" s="14" customFormat="1" ht="15" hidden="1" customHeight="1" outlineLevel="1">
      <c r="B105" s="494" t="s">
        <v>188</v>
      </c>
      <c r="C105" s="878">
        <v>0</v>
      </c>
      <c r="D105" s="108">
        <f t="shared" ref="D105:D108" si="45">C105</f>
        <v>0</v>
      </c>
      <c r="E105" s="108">
        <f t="shared" ref="E105:E108" si="46">D105</f>
        <v>0</v>
      </c>
      <c r="F105" s="108">
        <f t="shared" ref="F105:F108" si="47">E105</f>
        <v>0</v>
      </c>
      <c r="G105" s="829">
        <f t="shared" ref="G105:G108" si="48">F105</f>
        <v>0</v>
      </c>
      <c r="H105" s="108"/>
      <c r="I105" s="108"/>
      <c r="J105" s="496"/>
      <c r="M105" s="1385" t="e">
        <f>+E105*#REF!</f>
        <v>#REF!</v>
      </c>
      <c r="Q105" s="1385" t="e">
        <f>+I105*#REF!</f>
        <v>#REF!</v>
      </c>
    </row>
    <row r="106" spans="2:17" s="14" customFormat="1" ht="15" hidden="1" customHeight="1" outlineLevel="1">
      <c r="B106" s="494" t="s">
        <v>189</v>
      </c>
      <c r="C106" s="878">
        <v>0</v>
      </c>
      <c r="D106" s="108">
        <f t="shared" si="45"/>
        <v>0</v>
      </c>
      <c r="E106" s="108">
        <f t="shared" si="46"/>
        <v>0</v>
      </c>
      <c r="F106" s="108">
        <f t="shared" si="47"/>
        <v>0</v>
      </c>
      <c r="G106" s="829">
        <f t="shared" si="48"/>
        <v>0</v>
      </c>
      <c r="H106" s="108"/>
      <c r="I106" s="108"/>
      <c r="J106" s="496"/>
      <c r="M106" s="1385" t="e">
        <f>+E106*#REF!</f>
        <v>#REF!</v>
      </c>
      <c r="Q106" s="1385" t="e">
        <f>+I106*#REF!</f>
        <v>#REF!</v>
      </c>
    </row>
    <row r="107" spans="2:17" s="14" customFormat="1" ht="15" hidden="1" customHeight="1" outlineLevel="1">
      <c r="B107" s="494" t="s">
        <v>190</v>
      </c>
      <c r="C107" s="878">
        <v>0</v>
      </c>
      <c r="D107" s="108">
        <f t="shared" si="45"/>
        <v>0</v>
      </c>
      <c r="E107" s="108">
        <f t="shared" si="46"/>
        <v>0</v>
      </c>
      <c r="F107" s="108">
        <f t="shared" si="47"/>
        <v>0</v>
      </c>
      <c r="G107" s="829">
        <f t="shared" si="48"/>
        <v>0</v>
      </c>
      <c r="H107" s="108"/>
      <c r="I107" s="108"/>
      <c r="J107" s="496"/>
      <c r="M107" s="1385" t="e">
        <f>+E107*#REF!</f>
        <v>#REF!</v>
      </c>
      <c r="Q107" s="1385" t="e">
        <f>+I107*#REF!</f>
        <v>#REF!</v>
      </c>
    </row>
    <row r="108" spans="2:17" s="14" customFormat="1" ht="15" hidden="1" customHeight="1" outlineLevel="1">
      <c r="B108" s="494" t="s">
        <v>191</v>
      </c>
      <c r="C108" s="878">
        <v>0</v>
      </c>
      <c r="D108" s="108">
        <f t="shared" si="45"/>
        <v>0</v>
      </c>
      <c r="E108" s="108">
        <f t="shared" si="46"/>
        <v>0</v>
      </c>
      <c r="F108" s="108">
        <f t="shared" si="47"/>
        <v>0</v>
      </c>
      <c r="G108" s="829">
        <f t="shared" si="48"/>
        <v>0</v>
      </c>
      <c r="H108" s="108"/>
      <c r="I108" s="108"/>
      <c r="J108" s="496"/>
      <c r="M108" s="1385" t="e">
        <f>+E108*#REF!</f>
        <v>#REF!</v>
      </c>
      <c r="Q108" s="1385" t="e">
        <f>+I108*#REF!</f>
        <v>#REF!</v>
      </c>
    </row>
    <row r="109" spans="2:17" s="14" customFormat="1" ht="15" hidden="1" customHeight="1" outlineLevel="1">
      <c r="B109" s="494" t="s">
        <v>103</v>
      </c>
      <c r="C109" s="878" t="e">
        <f>ПрСбытПрП!#REF!*4%</f>
        <v>#REF!</v>
      </c>
      <c r="D109" s="108" t="e">
        <f>ПрСбытПрП!#REF!*4%</f>
        <v>#REF!</v>
      </c>
      <c r="E109" s="108" t="e">
        <f>ПрСбытПрП!#REF!*4%</f>
        <v>#REF!</v>
      </c>
      <c r="F109" s="108" t="e">
        <f>ПрСбытПрП!#REF!*4%</f>
        <v>#REF!</v>
      </c>
      <c r="G109" s="829" t="e">
        <f>ПрСбытПрП!#REF!*4%</f>
        <v>#REF!</v>
      </c>
      <c r="H109" s="108"/>
      <c r="I109" s="108"/>
      <c r="J109" s="496"/>
      <c r="M109" s="1385" t="e">
        <f>+E109*#REF!</f>
        <v>#REF!</v>
      </c>
      <c r="Q109" s="1385" t="e">
        <f>+I109*#REF!</f>
        <v>#REF!</v>
      </c>
    </row>
    <row r="110" spans="2:17" s="14" customFormat="1" ht="15" hidden="1" customHeight="1">
      <c r="B110" s="498" t="e">
        <f>ПрСбытПрП!#REF!</f>
        <v>#REF!</v>
      </c>
      <c r="C110" s="882" t="e">
        <f>SUM(C111:C116)</f>
        <v>#REF!</v>
      </c>
      <c r="D110" s="106" t="e">
        <f>SUM(D111:D116)</f>
        <v>#REF!</v>
      </c>
      <c r="E110" s="106" t="e">
        <f>SUM(E111:E116)</f>
        <v>#REF!</v>
      </c>
      <c r="F110" s="106" t="e">
        <f>SUM(F111:F116)</f>
        <v>#REF!</v>
      </c>
      <c r="G110" s="827" t="e">
        <f>SUM(G111:G116)</f>
        <v>#REF!</v>
      </c>
      <c r="H110" s="106"/>
      <c r="I110" s="106"/>
      <c r="J110" s="493"/>
      <c r="M110" s="1385" t="e">
        <f>+E110*#REF!</f>
        <v>#REF!</v>
      </c>
      <c r="Q110" s="1385" t="e">
        <f>+I110*#REF!</f>
        <v>#REF!</v>
      </c>
    </row>
    <row r="111" spans="2:17" s="14" customFormat="1" ht="15" hidden="1" customHeight="1" outlineLevel="1">
      <c r="B111" s="494" t="s">
        <v>187</v>
      </c>
      <c r="C111" s="878" t="e">
        <f>ПрСбытПрП!#REF!*40%</f>
        <v>#REF!</v>
      </c>
      <c r="D111" s="108" t="e">
        <f t="shared" ref="D111:D115" si="49">C111</f>
        <v>#REF!</v>
      </c>
      <c r="E111" s="108" t="e">
        <f t="shared" ref="E111:E115" si="50">D111</f>
        <v>#REF!</v>
      </c>
      <c r="F111" s="108" t="e">
        <f t="shared" ref="F111:F115" si="51">E111</f>
        <v>#REF!</v>
      </c>
      <c r="G111" s="829" t="e">
        <f t="shared" ref="G111:G115" si="52">F111</f>
        <v>#REF!</v>
      </c>
      <c r="H111" s="108"/>
      <c r="I111" s="108"/>
      <c r="J111" s="496"/>
      <c r="M111" s="1385" t="e">
        <f>+E111*#REF!</f>
        <v>#REF!</v>
      </c>
      <c r="Q111" s="1385" t="e">
        <f>+I111*#REF!</f>
        <v>#REF!</v>
      </c>
    </row>
    <row r="112" spans="2:17" s="14" customFormat="1" ht="15" hidden="1" customHeight="1" outlineLevel="1">
      <c r="B112" s="494" t="s">
        <v>188</v>
      </c>
      <c r="C112" s="878">
        <v>0</v>
      </c>
      <c r="D112" s="108">
        <f t="shared" si="49"/>
        <v>0</v>
      </c>
      <c r="E112" s="108">
        <f t="shared" si="50"/>
        <v>0</v>
      </c>
      <c r="F112" s="108">
        <f t="shared" si="51"/>
        <v>0</v>
      </c>
      <c r="G112" s="829">
        <f t="shared" si="52"/>
        <v>0</v>
      </c>
      <c r="H112" s="108"/>
      <c r="I112" s="108"/>
      <c r="J112" s="496"/>
      <c r="M112" s="1385" t="e">
        <f>+E112*#REF!</f>
        <v>#REF!</v>
      </c>
      <c r="Q112" s="1385" t="e">
        <f>+I112*#REF!</f>
        <v>#REF!</v>
      </c>
    </row>
    <row r="113" spans="2:18" s="14" customFormat="1" ht="15" hidden="1" customHeight="1" outlineLevel="1">
      <c r="B113" s="494" t="s">
        <v>189</v>
      </c>
      <c r="C113" s="878">
        <v>0</v>
      </c>
      <c r="D113" s="108">
        <f t="shared" si="49"/>
        <v>0</v>
      </c>
      <c r="E113" s="108">
        <f t="shared" si="50"/>
        <v>0</v>
      </c>
      <c r="F113" s="108">
        <f t="shared" si="51"/>
        <v>0</v>
      </c>
      <c r="G113" s="829">
        <f t="shared" si="52"/>
        <v>0</v>
      </c>
      <c r="H113" s="108"/>
      <c r="I113" s="108"/>
      <c r="J113" s="496"/>
      <c r="M113" s="1385" t="e">
        <f>+E113*#REF!</f>
        <v>#REF!</v>
      </c>
      <c r="Q113" s="1385" t="e">
        <f>+I113*#REF!</f>
        <v>#REF!</v>
      </c>
    </row>
    <row r="114" spans="2:18" s="14" customFormat="1" ht="15" hidden="1" customHeight="1" outlineLevel="1">
      <c r="B114" s="494" t="s">
        <v>190</v>
      </c>
      <c r="C114" s="878">
        <v>0</v>
      </c>
      <c r="D114" s="108">
        <f t="shared" si="49"/>
        <v>0</v>
      </c>
      <c r="E114" s="108">
        <f t="shared" si="50"/>
        <v>0</v>
      </c>
      <c r="F114" s="108">
        <f t="shared" si="51"/>
        <v>0</v>
      </c>
      <c r="G114" s="829">
        <f t="shared" si="52"/>
        <v>0</v>
      </c>
      <c r="H114" s="108"/>
      <c r="I114" s="108"/>
      <c r="J114" s="496"/>
      <c r="M114" s="1385" t="e">
        <f>+E114*#REF!</f>
        <v>#REF!</v>
      </c>
      <c r="Q114" s="1385" t="e">
        <f>+I114*#REF!</f>
        <v>#REF!</v>
      </c>
    </row>
    <row r="115" spans="2:18" s="14" customFormat="1" ht="15" hidden="1" customHeight="1" outlineLevel="1">
      <c r="B115" s="494" t="s">
        <v>191</v>
      </c>
      <c r="C115" s="878">
        <v>0</v>
      </c>
      <c r="D115" s="108">
        <f t="shared" si="49"/>
        <v>0</v>
      </c>
      <c r="E115" s="108">
        <f t="shared" si="50"/>
        <v>0</v>
      </c>
      <c r="F115" s="108">
        <f t="shared" si="51"/>
        <v>0</v>
      </c>
      <c r="G115" s="829">
        <f t="shared" si="52"/>
        <v>0</v>
      </c>
      <c r="H115" s="108"/>
      <c r="I115" s="108"/>
      <c r="J115" s="496"/>
      <c r="M115" s="1385" t="e">
        <f>+E115*#REF!</f>
        <v>#REF!</v>
      </c>
      <c r="Q115" s="1385" t="e">
        <f>+I115*#REF!</f>
        <v>#REF!</v>
      </c>
    </row>
    <row r="116" spans="2:18" s="14" customFormat="1" ht="15" hidden="1" customHeight="1" outlineLevel="1">
      <c r="B116" s="494" t="s">
        <v>103</v>
      </c>
      <c r="C116" s="878" t="e">
        <f>ПрСбытПрП!#REF!*4%</f>
        <v>#REF!</v>
      </c>
      <c r="D116" s="108" t="e">
        <f>C116</f>
        <v>#REF!</v>
      </c>
      <c r="E116" s="108" t="e">
        <f>D116</f>
        <v>#REF!</v>
      </c>
      <c r="F116" s="108" t="e">
        <f>E116</f>
        <v>#REF!</v>
      </c>
      <c r="G116" s="829" t="e">
        <f>F116</f>
        <v>#REF!</v>
      </c>
      <c r="H116" s="108"/>
      <c r="I116" s="108"/>
      <c r="J116" s="496"/>
      <c r="M116" s="1385" t="e">
        <f>+E116*#REF!</f>
        <v>#REF!</v>
      </c>
      <c r="Q116" s="1385" t="e">
        <f>+I116*#REF!</f>
        <v>#REF!</v>
      </c>
    </row>
    <row r="117" spans="2:18" s="24" customFormat="1" ht="15" customHeight="1" collapsed="1" thickBot="1">
      <c r="B117" s="835" t="s">
        <v>70</v>
      </c>
      <c r="C117" s="883" t="e">
        <f t="shared" ref="C117:J117" si="53">C26+C20+C14+C6+C33+C40+C47+C54+C61+C68+C75+C82+C89+C96+C103+C110</f>
        <v>#REF!</v>
      </c>
      <c r="D117" s="836" t="e">
        <f t="shared" si="53"/>
        <v>#REF!</v>
      </c>
      <c r="E117" s="836" t="e">
        <f t="shared" si="53"/>
        <v>#REF!</v>
      </c>
      <c r="F117" s="836" t="e">
        <f t="shared" si="53"/>
        <v>#REF!</v>
      </c>
      <c r="G117" s="837" t="e">
        <f t="shared" si="53"/>
        <v>#REF!</v>
      </c>
      <c r="H117" s="837" t="e">
        <f t="shared" si="53"/>
        <v>#REF!</v>
      </c>
      <c r="I117" s="837" t="e">
        <f t="shared" si="53"/>
        <v>#REF!</v>
      </c>
      <c r="J117" s="859" t="e">
        <f t="shared" si="53"/>
        <v>#REF!</v>
      </c>
      <c r="K117" s="1387" t="e">
        <f>SUM(K15:K116)</f>
        <v>#REF!</v>
      </c>
      <c r="L117" s="1387" t="e">
        <f>SUM(L15:L116)</f>
        <v>#REF!</v>
      </c>
      <c r="M117" s="1387" t="e">
        <f>SUM(M15:M116)</f>
        <v>#REF!</v>
      </c>
      <c r="N117" s="1387" t="e">
        <f t="shared" ref="N117:R117" si="54">SUM(N15:N116)</f>
        <v>#REF!</v>
      </c>
      <c r="O117" s="1387" t="e">
        <f t="shared" si="54"/>
        <v>#REF!</v>
      </c>
      <c r="P117" s="1387" t="e">
        <f t="shared" si="54"/>
        <v>#REF!</v>
      </c>
      <c r="Q117" s="1387" t="e">
        <f t="shared" si="54"/>
        <v>#REF!</v>
      </c>
      <c r="R117" s="1387">
        <f t="shared" si="54"/>
        <v>0</v>
      </c>
    </row>
    <row r="118" spans="2:18" s="5" customFormat="1" ht="18" customHeight="1" thickTop="1">
      <c r="B118" s="25"/>
      <c r="C118" s="25"/>
      <c r="D118" s="25"/>
      <c r="E118" s="25"/>
      <c r="F118" s="25"/>
      <c r="K118" s="5" t="e">
        <f>+ТРП!#REF!</f>
        <v>#REF!</v>
      </c>
      <c r="L118" s="5" t="e">
        <f>+ТРП!#REF!</f>
        <v>#REF!</v>
      </c>
      <c r="M118" s="5" t="e">
        <f>+ТРП!#REF!</f>
        <v>#REF!</v>
      </c>
      <c r="N118" s="5" t="e">
        <f>+ТРП!#REF!</f>
        <v>#REF!</v>
      </c>
      <c r="O118" s="5" t="e">
        <f>+ТРП!#REF!</f>
        <v>#REF!</v>
      </c>
      <c r="P118" s="5" t="e">
        <f>+ТРП!#REF!</f>
        <v>#REF!</v>
      </c>
      <c r="Q118" s="5" t="e">
        <f>+ТРП!#REF!</f>
        <v>#REF!</v>
      </c>
      <c r="R118" s="5" t="e">
        <f>+ТРП!#REF!</f>
        <v>#REF!</v>
      </c>
    </row>
    <row r="119" spans="2:18" s="5" customFormat="1" ht="18" customHeight="1">
      <c r="B119" s="2171" t="s">
        <v>61</v>
      </c>
      <c r="C119" s="2171"/>
      <c r="D119" s="2171"/>
      <c r="E119" s="2171"/>
      <c r="F119" s="2171"/>
      <c r="G119" s="2171"/>
      <c r="H119" s="826"/>
      <c r="I119" s="826"/>
      <c r="J119" s="826"/>
      <c r="K119" s="1388" t="e">
        <f>+K117+K118</f>
        <v>#REF!</v>
      </c>
      <c r="L119" s="1388" t="e">
        <f>+L117+L118</f>
        <v>#REF!</v>
      </c>
      <c r="M119" s="1388" t="e">
        <f>+M117+M118</f>
        <v>#REF!</v>
      </c>
      <c r="N119" s="1388" t="e">
        <f t="shared" ref="N119:R119" si="55">+N117+N118</f>
        <v>#REF!</v>
      </c>
      <c r="O119" s="1388" t="e">
        <f t="shared" si="55"/>
        <v>#REF!</v>
      </c>
      <c r="P119" s="1388" t="e">
        <f t="shared" si="55"/>
        <v>#REF!</v>
      </c>
      <c r="Q119" s="1388" t="e">
        <f t="shared" si="55"/>
        <v>#REF!</v>
      </c>
      <c r="R119" s="1388" t="e">
        <f t="shared" si="55"/>
        <v>#REF!</v>
      </c>
    </row>
    <row r="120" spans="2:18" s="5" customFormat="1" ht="18" customHeight="1">
      <c r="B120" s="2108" t="s">
        <v>0</v>
      </c>
      <c r="C120" s="2108"/>
      <c r="D120" s="2108"/>
      <c r="E120" s="2108"/>
      <c r="F120" s="2108"/>
      <c r="G120" s="2108"/>
      <c r="H120" s="578"/>
      <c r="I120" s="578"/>
      <c r="J120" s="578"/>
    </row>
    <row r="121" spans="2:18" s="5" customFormat="1" ht="18" customHeight="1">
      <c r="B121" s="2108"/>
      <c r="C121" s="2108"/>
      <c r="D121" s="2108"/>
      <c r="E121" s="2108"/>
      <c r="F121" s="2108"/>
      <c r="G121" s="2108"/>
      <c r="H121" s="578"/>
      <c r="I121" s="578"/>
      <c r="J121" s="578"/>
    </row>
    <row r="122" spans="2:18" s="5" customFormat="1" ht="18" customHeight="1">
      <c r="B122" s="2108"/>
      <c r="C122" s="2108"/>
      <c r="D122" s="2108"/>
      <c r="E122" s="2108"/>
      <c r="F122" s="2108"/>
      <c r="G122" s="2108"/>
      <c r="H122" s="578"/>
      <c r="I122" s="578"/>
      <c r="J122" s="578"/>
    </row>
    <row r="123" spans="2:18" s="5" customFormat="1" ht="18" customHeight="1">
      <c r="B123" s="2108"/>
      <c r="C123" s="2108"/>
      <c r="D123" s="2108"/>
      <c r="E123" s="2108"/>
      <c r="F123" s="2108"/>
      <c r="G123" s="2108"/>
      <c r="H123" s="578"/>
      <c r="I123" s="578"/>
      <c r="J123" s="578"/>
    </row>
    <row r="124" spans="2:18" s="5" customFormat="1" ht="27" customHeight="1">
      <c r="B124" s="2108"/>
      <c r="C124" s="2108"/>
      <c r="D124" s="2108"/>
      <c r="E124" s="2108"/>
      <c r="F124" s="2108"/>
      <c r="G124" s="2108"/>
      <c r="H124" s="578"/>
      <c r="I124" s="578"/>
      <c r="J124" s="578"/>
    </row>
    <row r="125" spans="2:18" s="5" customFormat="1" ht="21" customHeight="1">
      <c r="B125" s="2108"/>
      <c r="C125" s="2108"/>
      <c r="D125" s="2108"/>
      <c r="E125" s="2108"/>
      <c r="F125" s="2108"/>
      <c r="G125" s="2108"/>
      <c r="H125" s="578"/>
      <c r="I125" s="578"/>
      <c r="J125" s="578"/>
    </row>
    <row r="126" spans="2:18" s="5" customFormat="1" ht="23.25" customHeight="1">
      <c r="B126" s="2108"/>
      <c r="C126" s="2108"/>
      <c r="D126" s="2108"/>
      <c r="E126" s="2108"/>
      <c r="F126" s="2108"/>
      <c r="G126" s="2108"/>
      <c r="H126" s="578"/>
      <c r="I126" s="578"/>
      <c r="J126" s="578"/>
    </row>
    <row r="127" spans="2:18" s="5" customFormat="1" ht="18" customHeight="1">
      <c r="B127" s="2175" t="s">
        <v>1</v>
      </c>
      <c r="C127" s="2176"/>
      <c r="D127" s="2176"/>
      <c r="E127" s="2176"/>
      <c r="F127" s="2176"/>
      <c r="G127" s="2177"/>
      <c r="H127" s="578"/>
      <c r="I127" s="578"/>
      <c r="J127" s="578"/>
    </row>
    <row r="128" spans="2:18" s="5" customFormat="1" ht="16.5" customHeight="1">
      <c r="B128" s="2178"/>
      <c r="C128" s="2179"/>
      <c r="D128" s="2179"/>
      <c r="E128" s="2179"/>
      <c r="F128" s="2179"/>
      <c r="G128" s="2180"/>
      <c r="H128" s="578"/>
      <c r="I128" s="578"/>
      <c r="J128" s="578"/>
    </row>
    <row r="129" spans="2:10" s="5" customFormat="1" ht="16.5" customHeight="1">
      <c r="B129" s="2178"/>
      <c r="C129" s="2179"/>
      <c r="D129" s="2179"/>
      <c r="E129" s="2179"/>
      <c r="F129" s="2179"/>
      <c r="G129" s="2180"/>
      <c r="H129" s="578"/>
      <c r="I129" s="578"/>
      <c r="J129" s="578"/>
    </row>
    <row r="130" spans="2:10" s="5" customFormat="1" ht="16.5" customHeight="1">
      <c r="B130" s="2181"/>
      <c r="C130" s="2182"/>
      <c r="D130" s="2182"/>
      <c r="E130" s="2182"/>
      <c r="F130" s="2182"/>
      <c r="G130" s="2183"/>
      <c r="H130" s="578"/>
      <c r="I130" s="578"/>
      <c r="J130" s="578"/>
    </row>
    <row r="131" spans="2:10" s="5" customFormat="1" ht="18" customHeight="1">
      <c r="B131" s="2175" t="s">
        <v>50</v>
      </c>
      <c r="C131" s="2176"/>
      <c r="D131" s="2176"/>
      <c r="E131" s="2176"/>
      <c r="F131" s="2176"/>
      <c r="G131" s="2177"/>
      <c r="H131" s="578"/>
      <c r="I131" s="578"/>
      <c r="J131" s="578"/>
    </row>
    <row r="132" spans="2:10" s="5" customFormat="1" ht="18" customHeight="1">
      <c r="B132" s="2178"/>
      <c r="C132" s="2179"/>
      <c r="D132" s="2179"/>
      <c r="E132" s="2179"/>
      <c r="F132" s="2179"/>
      <c r="G132" s="2180"/>
      <c r="H132" s="578"/>
      <c r="I132" s="578"/>
      <c r="J132" s="578"/>
    </row>
    <row r="133" spans="2:10" s="5" customFormat="1" ht="18" customHeight="1">
      <c r="B133" s="2178"/>
      <c r="C133" s="2179"/>
      <c r="D133" s="2179"/>
      <c r="E133" s="2179"/>
      <c r="F133" s="2179"/>
      <c r="G133" s="2180"/>
      <c r="H133" s="578"/>
      <c r="I133" s="578"/>
      <c r="J133" s="578"/>
    </row>
    <row r="134" spans="2:10" s="5" customFormat="1" ht="14.25" customHeight="1">
      <c r="B134" s="2178"/>
      <c r="C134" s="2179"/>
      <c r="D134" s="2179"/>
      <c r="E134" s="2179"/>
      <c r="F134" s="2179"/>
      <c r="G134" s="2180"/>
      <c r="H134" s="578"/>
      <c r="I134" s="578"/>
      <c r="J134" s="578"/>
    </row>
    <row r="135" spans="2:10" s="52" customFormat="1" ht="18" customHeight="1">
      <c r="B135" s="2178"/>
      <c r="C135" s="2179"/>
      <c r="D135" s="2179"/>
      <c r="E135" s="2179"/>
      <c r="F135" s="2179"/>
      <c r="G135" s="2180"/>
      <c r="H135" s="578"/>
      <c r="I135" s="578"/>
      <c r="J135" s="578"/>
    </row>
    <row r="136" spans="2:10" s="52" customFormat="1" ht="18" customHeight="1">
      <c r="B136" s="2181"/>
      <c r="C136" s="2182"/>
      <c r="D136" s="2182"/>
      <c r="E136" s="2182"/>
      <c r="F136" s="2182"/>
      <c r="G136" s="2183"/>
      <c r="H136" s="578"/>
      <c r="I136" s="578"/>
      <c r="J136" s="578"/>
    </row>
    <row r="137" spans="2:10" s="52" customFormat="1" ht="18" customHeight="1">
      <c r="B137" s="2175" t="s">
        <v>30</v>
      </c>
      <c r="C137" s="2176"/>
      <c r="D137" s="2176"/>
      <c r="E137" s="2176"/>
      <c r="F137" s="2176"/>
      <c r="G137" s="2177"/>
      <c r="H137" s="578"/>
      <c r="I137" s="578"/>
      <c r="J137" s="578"/>
    </row>
    <row r="138" spans="2:10" s="52" customFormat="1" ht="18" customHeight="1">
      <c r="B138" s="2181"/>
      <c r="C138" s="2182"/>
      <c r="D138" s="2182"/>
      <c r="E138" s="2182"/>
      <c r="F138" s="2182"/>
      <c r="G138" s="2183"/>
      <c r="H138" s="578"/>
      <c r="I138" s="578"/>
      <c r="J138" s="578"/>
    </row>
    <row r="139" spans="2:10" s="52" customFormat="1" ht="36.75" customHeight="1">
      <c r="B139" s="2174" t="s">
        <v>2</v>
      </c>
      <c r="C139" s="2174"/>
      <c r="D139" s="2174"/>
      <c r="E139" s="2174"/>
      <c r="F139" s="2174"/>
      <c r="G139" s="2174"/>
      <c r="H139" s="17"/>
      <c r="I139" s="17"/>
      <c r="J139" s="17"/>
    </row>
    <row r="140" spans="2:10" s="5" customFormat="1">
      <c r="B140" s="4"/>
      <c r="C140" s="4"/>
      <c r="D140" s="4"/>
      <c r="E140" s="4"/>
    </row>
    <row r="141" spans="2:10" s="5" customFormat="1" ht="20.25" customHeight="1"/>
    <row r="142" spans="2:10" s="5" customFormat="1">
      <c r="B142" s="4"/>
      <c r="C142" s="4"/>
      <c r="D142" s="4"/>
      <c r="E142" s="4"/>
    </row>
    <row r="143" spans="2:10" s="5" customFormat="1">
      <c r="B143" s="4"/>
      <c r="C143" s="4"/>
      <c r="D143" s="4"/>
      <c r="E143" s="4"/>
    </row>
    <row r="144" spans="2:10" s="5" customFormat="1">
      <c r="B144" s="4"/>
      <c r="C144" s="4"/>
      <c r="D144" s="4"/>
      <c r="E144" s="4"/>
    </row>
  </sheetData>
  <mergeCells count="11">
    <mergeCell ref="B1:G1"/>
    <mergeCell ref="L6:P6"/>
    <mergeCell ref="B119:G119"/>
    <mergeCell ref="B4:B5"/>
    <mergeCell ref="B139:G139"/>
    <mergeCell ref="B120:G126"/>
    <mergeCell ref="B127:G130"/>
    <mergeCell ref="B131:G136"/>
    <mergeCell ref="B137:G138"/>
    <mergeCell ref="B2:J2"/>
    <mergeCell ref="C4:J4"/>
  </mergeCells>
  <phoneticPr fontId="6" type="noConversion"/>
  <hyperlinks>
    <hyperlink ref="L6:M6" location="начало!A1" display="Переход на начальную страницу"/>
  </hyperlinks>
  <printOptions horizontalCentered="1"/>
  <pageMargins left="0.47244094488188981" right="0.11811023622047245" top="0.51181102362204722" bottom="0.31496062992125984" header="0.51181102362204722" footer="0.23622047244094491"/>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6"/>
  <sheetViews>
    <sheetView view="pageBreakPreview" zoomScale="90" zoomScaleNormal="100" zoomScaleSheetLayoutView="90" workbookViewId="0">
      <selection activeCell="R36" sqref="R36"/>
    </sheetView>
  </sheetViews>
  <sheetFormatPr defaultColWidth="9.140625" defaultRowHeight="12.75"/>
  <cols>
    <col min="1" max="1" width="5.140625" style="110" customWidth="1"/>
    <col min="2" max="2" width="22" style="122" customWidth="1"/>
    <col min="3" max="6" width="7" style="122" customWidth="1"/>
    <col min="7" max="7" width="7.85546875" style="122" customWidth="1"/>
    <col min="8" max="8" width="9.28515625" style="122" customWidth="1"/>
    <col min="9" max="11" width="7" style="122" customWidth="1"/>
    <col min="12" max="12" width="7" style="110" customWidth="1"/>
    <col min="13" max="13" width="7.7109375" style="110" customWidth="1"/>
    <col min="14" max="14" width="9.28515625" style="110" customWidth="1"/>
    <col min="15" max="18" width="7" style="110" customWidth="1"/>
    <col min="19" max="19" width="7.7109375" style="110" customWidth="1"/>
    <col min="20" max="20" width="9.28515625" style="110" customWidth="1"/>
    <col min="21" max="24" width="7" style="110" customWidth="1"/>
    <col min="25" max="25" width="7.85546875" style="110" customWidth="1"/>
    <col min="26" max="26" width="9.140625" style="110" customWidth="1"/>
    <col min="27" max="30" width="7" style="110" customWidth="1"/>
    <col min="31" max="31" width="7.7109375" style="110" customWidth="1"/>
    <col min="32" max="32" width="9.28515625" style="110" customWidth="1"/>
    <col min="33" max="16384" width="9.140625" style="110"/>
  </cols>
  <sheetData>
    <row r="1" spans="2:35" ht="18.75">
      <c r="AF1" s="1292" t="s">
        <v>629</v>
      </c>
    </row>
    <row r="2" spans="2:35">
      <c r="B2" s="2188" t="s">
        <v>87</v>
      </c>
      <c r="C2" s="2188"/>
      <c r="D2" s="2188"/>
      <c r="E2" s="2188"/>
      <c r="F2" s="2188"/>
      <c r="G2" s="2188"/>
      <c r="H2" s="2188"/>
      <c r="I2" s="2188"/>
      <c r="J2" s="2188"/>
      <c r="K2" s="2188"/>
      <c r="L2" s="2188"/>
      <c r="M2" s="2188"/>
      <c r="N2" s="2188"/>
      <c r="O2" s="2188"/>
      <c r="P2" s="2188"/>
      <c r="Q2" s="2188"/>
      <c r="R2" s="2188"/>
      <c r="S2" s="2188"/>
      <c r="T2" s="2188"/>
      <c r="U2" s="2188"/>
      <c r="V2" s="2188"/>
      <c r="W2" s="2188"/>
      <c r="X2" s="2188"/>
      <c r="Y2" s="2188"/>
      <c r="Z2" s="2188"/>
      <c r="AA2" s="2188"/>
      <c r="AB2" s="2188"/>
      <c r="AC2" s="2188"/>
      <c r="AD2" s="2188"/>
      <c r="AE2" s="2188"/>
      <c r="AF2" s="2188"/>
    </row>
    <row r="3" spans="2:35" s="111" customFormat="1" ht="13.5" thickBot="1">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97"/>
      <c r="AB3" s="1297"/>
      <c r="AC3" s="1297"/>
      <c r="AD3" s="1297"/>
      <c r="AE3" s="1297"/>
      <c r="AF3" s="1302" t="s">
        <v>553</v>
      </c>
    </row>
    <row r="4" spans="2:35" s="111" customFormat="1" ht="12.75" customHeight="1" thickTop="1">
      <c r="B4" s="2189" t="s">
        <v>156</v>
      </c>
      <c r="C4" s="2191">
        <v>2019</v>
      </c>
      <c r="D4" s="2192"/>
      <c r="E4" s="2192"/>
      <c r="F4" s="2192"/>
      <c r="G4" s="2192"/>
      <c r="H4" s="2192"/>
      <c r="I4" s="2193">
        <f>C4+1</f>
        <v>2020</v>
      </c>
      <c r="J4" s="2194"/>
      <c r="K4" s="2194"/>
      <c r="L4" s="2194"/>
      <c r="M4" s="2194"/>
      <c r="N4" s="2195"/>
      <c r="O4" s="2196">
        <f>I4+1</f>
        <v>2021</v>
      </c>
      <c r="P4" s="2197"/>
      <c r="Q4" s="2197"/>
      <c r="R4" s="2197"/>
      <c r="S4" s="2197"/>
      <c r="T4" s="2203"/>
      <c r="U4" s="2197">
        <f>O4+1</f>
        <v>2022</v>
      </c>
      <c r="V4" s="2197"/>
      <c r="W4" s="2197"/>
      <c r="X4" s="2197"/>
      <c r="Y4" s="2197"/>
      <c r="Z4" s="2197"/>
      <c r="AA4" s="2193">
        <f>U4+1</f>
        <v>2023</v>
      </c>
      <c r="AB4" s="2194"/>
      <c r="AC4" s="2194"/>
      <c r="AD4" s="2194"/>
      <c r="AE4" s="2194"/>
      <c r="AF4" s="2202"/>
    </row>
    <row r="5" spans="2:35" s="111" customFormat="1" ht="147.75" customHeight="1" thickBot="1">
      <c r="B5" s="2190"/>
      <c r="C5" s="127" t="s">
        <v>212</v>
      </c>
      <c r="D5" s="128" t="s">
        <v>220</v>
      </c>
      <c r="E5" s="128" t="s">
        <v>219</v>
      </c>
      <c r="F5" s="128" t="s">
        <v>213</v>
      </c>
      <c r="G5" s="129" t="s">
        <v>218</v>
      </c>
      <c r="H5" s="130" t="s">
        <v>332</v>
      </c>
      <c r="I5" s="127" t="s">
        <v>212</v>
      </c>
      <c r="J5" s="128" t="s">
        <v>220</v>
      </c>
      <c r="K5" s="128" t="s">
        <v>219</v>
      </c>
      <c r="L5" s="128" t="s">
        <v>213</v>
      </c>
      <c r="M5" s="129" t="s">
        <v>218</v>
      </c>
      <c r="N5" s="130" t="s">
        <v>332</v>
      </c>
      <c r="O5" s="127" t="s">
        <v>212</v>
      </c>
      <c r="P5" s="128" t="s">
        <v>220</v>
      </c>
      <c r="Q5" s="128" t="s">
        <v>219</v>
      </c>
      <c r="R5" s="128" t="s">
        <v>213</v>
      </c>
      <c r="S5" s="129" t="s">
        <v>218</v>
      </c>
      <c r="T5" s="452" t="s">
        <v>332</v>
      </c>
      <c r="U5" s="127" t="s">
        <v>212</v>
      </c>
      <c r="V5" s="128" t="s">
        <v>220</v>
      </c>
      <c r="W5" s="128" t="s">
        <v>219</v>
      </c>
      <c r="X5" s="128" t="s">
        <v>213</v>
      </c>
      <c r="Y5" s="133" t="s">
        <v>218</v>
      </c>
      <c r="Z5" s="130" t="s">
        <v>332</v>
      </c>
      <c r="AA5" s="127" t="s">
        <v>212</v>
      </c>
      <c r="AB5" s="128" t="s">
        <v>220</v>
      </c>
      <c r="AC5" s="128" t="s">
        <v>219</v>
      </c>
      <c r="AD5" s="128" t="s">
        <v>213</v>
      </c>
      <c r="AE5" s="128" t="s">
        <v>218</v>
      </c>
      <c r="AF5" s="499" t="s">
        <v>332</v>
      </c>
    </row>
    <row r="6" spans="2:35" s="111" customFormat="1" ht="18.75" customHeight="1">
      <c r="B6" s="500" t="s">
        <v>596</v>
      </c>
      <c r="C6" s="436">
        <v>30000</v>
      </c>
      <c r="D6" s="437" t="e">
        <f>+#REF!/60</f>
        <v>#REF!</v>
      </c>
      <c r="E6" s="437">
        <v>12</v>
      </c>
      <c r="F6" s="131" t="e">
        <f>C6*D6</f>
        <v>#REF!</v>
      </c>
      <c r="G6" s="123" t="e">
        <f>+F6*C34%+F6</f>
        <v>#REF!</v>
      </c>
      <c r="H6" s="1433" t="e">
        <f>+E6*G6/1000</f>
        <v>#REF!</v>
      </c>
      <c r="I6" s="433">
        <f>+C6*1.01</f>
        <v>30300</v>
      </c>
      <c r="J6" s="431">
        <v>1</v>
      </c>
      <c r="K6" s="431">
        <v>12</v>
      </c>
      <c r="L6" s="99">
        <f>+I6*J6</f>
        <v>30300</v>
      </c>
      <c r="M6" s="114">
        <f t="shared" ref="M6:M16" si="0">+L6*$D$34%+L6</f>
        <v>39390</v>
      </c>
      <c r="N6" s="115">
        <f>+K6*M6/1000</f>
        <v>472.68</v>
      </c>
      <c r="O6" s="435">
        <f>+I6*1.012</f>
        <v>30663.599999999999</v>
      </c>
      <c r="P6" s="431" t="e">
        <f>+#REF!/60</f>
        <v>#REF!</v>
      </c>
      <c r="Q6" s="431">
        <v>12</v>
      </c>
      <c r="R6" s="132" t="e">
        <f>+O6*P6</f>
        <v>#REF!</v>
      </c>
      <c r="S6" s="123" t="e">
        <f t="shared" ref="S6:S16" si="1">+R6*$E$34%+R6</f>
        <v>#REF!</v>
      </c>
      <c r="T6" s="1434" t="e">
        <f>+Q6*S6/1000</f>
        <v>#REF!</v>
      </c>
      <c r="U6" s="1299">
        <f>+O6*1.012</f>
        <v>31031.563200000001</v>
      </c>
      <c r="V6" s="1300" t="e">
        <f>+#REF!/60</f>
        <v>#REF!</v>
      </c>
      <c r="W6" s="1300">
        <v>12</v>
      </c>
      <c r="X6" s="1301" t="e">
        <f>+U6*V6</f>
        <v>#REF!</v>
      </c>
      <c r="Y6" s="131" t="e">
        <f t="shared" ref="Y6:Y16" si="2">+X6*$F$34%+X6</f>
        <v>#REF!</v>
      </c>
      <c r="Z6" s="123" t="e">
        <f>+W6*Y6/1000</f>
        <v>#REF!</v>
      </c>
      <c r="AA6" s="435">
        <f>+U6*1.012</f>
        <v>31403.941958400002</v>
      </c>
      <c r="AB6" s="431" t="e">
        <f>+#REF!/60</f>
        <v>#REF!</v>
      </c>
      <c r="AC6" s="431">
        <v>12</v>
      </c>
      <c r="AD6" s="134" t="e">
        <f>+AA6*AB6</f>
        <v>#REF!</v>
      </c>
      <c r="AE6" s="131" t="e">
        <f t="shared" ref="AE6:AE16" si="3">+AD6*$G$34%+AD6</f>
        <v>#REF!</v>
      </c>
      <c r="AF6" s="1435" t="e">
        <f>+AC6*AE6/1000</f>
        <v>#REF!</v>
      </c>
      <c r="AH6" s="111" t="e">
        <f>+(F7+G7)*12</f>
        <v>#REF!</v>
      </c>
      <c r="AI6" s="111">
        <f>+(L7+M7)*12</f>
        <v>808404</v>
      </c>
    </row>
    <row r="7" spans="2:35" s="111" customFormat="1" ht="18.75" customHeight="1">
      <c r="B7" s="500" t="s">
        <v>597</v>
      </c>
      <c r="C7" s="438">
        <v>29000</v>
      </c>
      <c r="D7" s="439" t="e">
        <f>+#REF!/60</f>
        <v>#REF!</v>
      </c>
      <c r="E7" s="439">
        <v>12</v>
      </c>
      <c r="F7" s="112" t="e">
        <f>C7*D7</f>
        <v>#REF!</v>
      </c>
      <c r="G7" s="113" t="e">
        <f>+F7*C34%+F7</f>
        <v>#REF!</v>
      </c>
      <c r="H7" s="1436" t="e">
        <f>+E7*G7/1000</f>
        <v>#REF!</v>
      </c>
      <c r="I7" s="433">
        <f>+C7*1.01</f>
        <v>29290</v>
      </c>
      <c r="J7" s="431">
        <v>1</v>
      </c>
      <c r="K7" s="431">
        <v>12</v>
      </c>
      <c r="L7" s="99">
        <f t="shared" ref="L7:L16" si="4">+I7*J7</f>
        <v>29290</v>
      </c>
      <c r="M7" s="114">
        <f t="shared" si="0"/>
        <v>38077</v>
      </c>
      <c r="N7" s="115">
        <f>+K7*M7/1000</f>
        <v>456.92399999999998</v>
      </c>
      <c r="O7" s="433">
        <f>+I7*1.012</f>
        <v>29641.48</v>
      </c>
      <c r="P7" s="431" t="e">
        <f>+#REF!/60</f>
        <v>#REF!</v>
      </c>
      <c r="Q7" s="431">
        <v>12</v>
      </c>
      <c r="R7" s="116" t="e">
        <f t="shared" ref="R7:R16" si="5">+O7*P7</f>
        <v>#REF!</v>
      </c>
      <c r="S7" s="115" t="e">
        <f t="shared" si="1"/>
        <v>#REF!</v>
      </c>
      <c r="T7" s="1436" t="e">
        <f>+Q7*S7/1000</f>
        <v>#REF!</v>
      </c>
      <c r="U7" s="450">
        <f>+O7*1.012</f>
        <v>29997.177759999999</v>
      </c>
      <c r="V7" s="431" t="e">
        <f>+#REF!/60</f>
        <v>#REF!</v>
      </c>
      <c r="W7" s="431">
        <v>12</v>
      </c>
      <c r="X7" s="99" t="e">
        <f t="shared" ref="X7:X16" si="6">+U7*V7</f>
        <v>#REF!</v>
      </c>
      <c r="Y7" s="114" t="e">
        <f t="shared" si="2"/>
        <v>#REF!</v>
      </c>
      <c r="Z7" s="115" t="e">
        <f>+W7*Y7/1000</f>
        <v>#REF!</v>
      </c>
      <c r="AA7" s="433">
        <f>+U7*1.012</f>
        <v>30357.143893119999</v>
      </c>
      <c r="AB7" s="431" t="e">
        <f>+#REF!/60</f>
        <v>#REF!</v>
      </c>
      <c r="AC7" s="431">
        <v>12</v>
      </c>
      <c r="AD7" s="99" t="e">
        <f t="shared" ref="AD7:AD16" si="7">+AA7*AB7</f>
        <v>#REF!</v>
      </c>
      <c r="AE7" s="114" t="e">
        <f t="shared" si="3"/>
        <v>#REF!</v>
      </c>
      <c r="AF7" s="1437" t="e">
        <f>+AC7*AE7/1000</f>
        <v>#REF!</v>
      </c>
      <c r="AH7" s="111">
        <f t="shared" ref="AH7" si="8">+(F8+G8)*12</f>
        <v>800400</v>
      </c>
      <c r="AI7" s="111">
        <f t="shared" ref="AI7" si="9">+(L8+M8)*12</f>
        <v>808404</v>
      </c>
    </row>
    <row r="8" spans="2:35" s="111" customFormat="1" ht="18.75" customHeight="1" thickBot="1">
      <c r="B8" s="500" t="s">
        <v>331</v>
      </c>
      <c r="C8" s="440">
        <v>29000</v>
      </c>
      <c r="D8" s="441">
        <v>1</v>
      </c>
      <c r="E8" s="441">
        <v>12</v>
      </c>
      <c r="F8" s="114">
        <f t="shared" ref="F8:F15" si="10">C8*D8</f>
        <v>29000</v>
      </c>
      <c r="G8" s="115">
        <f>+F8*C34%+F8</f>
        <v>37700</v>
      </c>
      <c r="H8" s="1438">
        <f t="shared" ref="H8" si="11">+E8*G8/1000</f>
        <v>452.4</v>
      </c>
      <c r="I8" s="433">
        <f>+C8*1.01</f>
        <v>29290</v>
      </c>
      <c r="J8" s="431">
        <v>1</v>
      </c>
      <c r="K8" s="431">
        <v>12</v>
      </c>
      <c r="L8" s="99">
        <f t="shared" si="4"/>
        <v>29290</v>
      </c>
      <c r="M8" s="114">
        <f t="shared" si="0"/>
        <v>38077</v>
      </c>
      <c r="N8" s="115">
        <f>+K8*M8/1000</f>
        <v>456.92399999999998</v>
      </c>
      <c r="O8" s="433">
        <f>+I8*1.12</f>
        <v>32804.800000000003</v>
      </c>
      <c r="P8" s="431">
        <v>1</v>
      </c>
      <c r="Q8" s="431">
        <v>12</v>
      </c>
      <c r="R8" s="116">
        <f t="shared" si="5"/>
        <v>32804.800000000003</v>
      </c>
      <c r="S8" s="115">
        <f t="shared" si="1"/>
        <v>42646.240000000005</v>
      </c>
      <c r="T8" s="1436">
        <f>+Q8*S8/1000</f>
        <v>511.75488000000007</v>
      </c>
      <c r="U8" s="450">
        <f>+O8*1.012</f>
        <v>33198.457600000002</v>
      </c>
      <c r="V8" s="431">
        <v>1</v>
      </c>
      <c r="W8" s="431">
        <v>12</v>
      </c>
      <c r="X8" s="99">
        <f t="shared" si="6"/>
        <v>33198.457600000002</v>
      </c>
      <c r="Y8" s="114">
        <f t="shared" si="2"/>
        <v>43157.994879999998</v>
      </c>
      <c r="Z8" s="115">
        <f>+W8*Y8/1000</f>
        <v>517.89593855999999</v>
      </c>
      <c r="AA8" s="433">
        <f>+U8*1.012</f>
        <v>33596.839091200003</v>
      </c>
      <c r="AB8" s="431">
        <v>1</v>
      </c>
      <c r="AC8" s="431">
        <v>12</v>
      </c>
      <c r="AD8" s="99">
        <f t="shared" si="7"/>
        <v>33596.839091200003</v>
      </c>
      <c r="AE8" s="114">
        <f t="shared" si="3"/>
        <v>43675.890818560001</v>
      </c>
      <c r="AF8" s="1437">
        <f>+AC8*AE8/1000</f>
        <v>524.11068982272002</v>
      </c>
      <c r="AH8" s="111">
        <f>+(F9+G9)*9</f>
        <v>0</v>
      </c>
      <c r="AI8" s="111">
        <f>+(L9+M9)*9</f>
        <v>0</v>
      </c>
    </row>
    <row r="9" spans="2:35" s="111" customFormat="1" hidden="1">
      <c r="B9" s="500"/>
      <c r="C9" s="440">
        <v>0</v>
      </c>
      <c r="D9" s="441">
        <v>0</v>
      </c>
      <c r="E9" s="441">
        <v>0</v>
      </c>
      <c r="F9" s="114">
        <f t="shared" si="10"/>
        <v>0</v>
      </c>
      <c r="G9" s="115">
        <f t="shared" ref="G9:G16" si="12">+F9*C34%+F9</f>
        <v>0</v>
      </c>
      <c r="H9" s="1436">
        <f>+E9*G9</f>
        <v>0</v>
      </c>
      <c r="I9" s="433">
        <f t="shared" ref="I9:I16" si="13">+C9*1.02</f>
        <v>0</v>
      </c>
      <c r="J9" s="431">
        <v>0</v>
      </c>
      <c r="K9" s="431">
        <v>0</v>
      </c>
      <c r="L9" s="99">
        <f t="shared" si="4"/>
        <v>0</v>
      </c>
      <c r="M9" s="114">
        <f t="shared" si="0"/>
        <v>0</v>
      </c>
      <c r="N9" s="115">
        <f t="shared" ref="N9:N16" si="14">+K9*M9</f>
        <v>0</v>
      </c>
      <c r="O9" s="433">
        <f t="shared" ref="O9:O16" si="15">+I9*1.02</f>
        <v>0</v>
      </c>
      <c r="P9" s="431">
        <v>0</v>
      </c>
      <c r="Q9" s="431">
        <v>0</v>
      </c>
      <c r="R9" s="116">
        <f t="shared" si="5"/>
        <v>0</v>
      </c>
      <c r="S9" s="115">
        <f t="shared" si="1"/>
        <v>0</v>
      </c>
      <c r="T9" s="1436">
        <f t="shared" ref="T9:T16" si="16">+Q9*S9</f>
        <v>0</v>
      </c>
      <c r="U9" s="450">
        <f t="shared" ref="U9:U16" si="17">+O9*1.02</f>
        <v>0</v>
      </c>
      <c r="V9" s="431">
        <v>0</v>
      </c>
      <c r="W9" s="431">
        <v>0</v>
      </c>
      <c r="X9" s="99">
        <f t="shared" si="6"/>
        <v>0</v>
      </c>
      <c r="Y9" s="114">
        <f t="shared" si="2"/>
        <v>0</v>
      </c>
      <c r="Z9" s="115">
        <f t="shared" ref="Z9:Z16" si="18">+W9*Y9</f>
        <v>0</v>
      </c>
      <c r="AA9" s="433">
        <f t="shared" ref="AA9:AA16" si="19">+U9*1.02</f>
        <v>0</v>
      </c>
      <c r="AB9" s="431">
        <v>0</v>
      </c>
      <c r="AC9" s="431">
        <v>0</v>
      </c>
      <c r="AD9" s="99">
        <f t="shared" si="7"/>
        <v>0</v>
      </c>
      <c r="AE9" s="114">
        <f t="shared" si="3"/>
        <v>0</v>
      </c>
      <c r="AF9" s="1437">
        <f t="shared" ref="AF9:AF16" si="20">+AC9*AE9</f>
        <v>0</v>
      </c>
      <c r="AH9" s="111" t="e">
        <f>+(F6+G6)*9</f>
        <v>#REF!</v>
      </c>
      <c r="AI9" s="111">
        <f>+(L6+M6)*9</f>
        <v>627210</v>
      </c>
    </row>
    <row r="10" spans="2:35" s="111" customFormat="1" hidden="1">
      <c r="B10" s="500"/>
      <c r="C10" s="440">
        <v>0</v>
      </c>
      <c r="D10" s="441">
        <v>0</v>
      </c>
      <c r="E10" s="441">
        <v>0</v>
      </c>
      <c r="F10" s="114">
        <f t="shared" si="10"/>
        <v>0</v>
      </c>
      <c r="G10" s="115">
        <f t="shared" si="12"/>
        <v>0</v>
      </c>
      <c r="H10" s="1436">
        <f>+E10*G10</f>
        <v>0</v>
      </c>
      <c r="I10" s="433">
        <f t="shared" si="13"/>
        <v>0</v>
      </c>
      <c r="J10" s="431">
        <v>0</v>
      </c>
      <c r="K10" s="431">
        <v>0</v>
      </c>
      <c r="L10" s="99">
        <f t="shared" si="4"/>
        <v>0</v>
      </c>
      <c r="M10" s="114">
        <f t="shared" si="0"/>
        <v>0</v>
      </c>
      <c r="N10" s="115">
        <f t="shared" si="14"/>
        <v>0</v>
      </c>
      <c r="O10" s="433">
        <f t="shared" si="15"/>
        <v>0</v>
      </c>
      <c r="P10" s="431">
        <v>0</v>
      </c>
      <c r="Q10" s="431">
        <v>0</v>
      </c>
      <c r="R10" s="116">
        <f t="shared" si="5"/>
        <v>0</v>
      </c>
      <c r="S10" s="115">
        <f t="shared" si="1"/>
        <v>0</v>
      </c>
      <c r="T10" s="1436">
        <f t="shared" si="16"/>
        <v>0</v>
      </c>
      <c r="U10" s="450">
        <f t="shared" si="17"/>
        <v>0</v>
      </c>
      <c r="V10" s="431">
        <v>0</v>
      </c>
      <c r="W10" s="431">
        <v>0</v>
      </c>
      <c r="X10" s="99">
        <f t="shared" si="6"/>
        <v>0</v>
      </c>
      <c r="Y10" s="114">
        <f t="shared" si="2"/>
        <v>0</v>
      </c>
      <c r="Z10" s="115">
        <f t="shared" si="18"/>
        <v>0</v>
      </c>
      <c r="AA10" s="433">
        <f t="shared" si="19"/>
        <v>0</v>
      </c>
      <c r="AB10" s="431">
        <v>0</v>
      </c>
      <c r="AC10" s="431">
        <v>0</v>
      </c>
      <c r="AD10" s="99">
        <f t="shared" si="7"/>
        <v>0</v>
      </c>
      <c r="AE10" s="114">
        <f t="shared" si="3"/>
        <v>0</v>
      </c>
      <c r="AF10" s="1437">
        <f t="shared" si="20"/>
        <v>0</v>
      </c>
      <c r="AH10" s="111" t="e">
        <f>SUM(AH6:AH9)</f>
        <v>#REF!</v>
      </c>
      <c r="AI10" s="111">
        <f>SUM(AI6:AI9)</f>
        <v>2244018</v>
      </c>
    </row>
    <row r="11" spans="2:35" s="111" customFormat="1" hidden="1">
      <c r="B11" s="500"/>
      <c r="C11" s="440">
        <v>0</v>
      </c>
      <c r="D11" s="441">
        <v>0</v>
      </c>
      <c r="E11" s="441">
        <v>0</v>
      </c>
      <c r="F11" s="114">
        <f t="shared" si="10"/>
        <v>0</v>
      </c>
      <c r="G11" s="115">
        <f t="shared" si="12"/>
        <v>0</v>
      </c>
      <c r="H11" s="1436">
        <f>+E11*G11</f>
        <v>0</v>
      </c>
      <c r="I11" s="433">
        <f t="shared" si="13"/>
        <v>0</v>
      </c>
      <c r="J11" s="431">
        <v>0</v>
      </c>
      <c r="K11" s="431">
        <v>0</v>
      </c>
      <c r="L11" s="99">
        <f t="shared" si="4"/>
        <v>0</v>
      </c>
      <c r="M11" s="114">
        <f t="shared" si="0"/>
        <v>0</v>
      </c>
      <c r="N11" s="115">
        <f t="shared" si="14"/>
        <v>0</v>
      </c>
      <c r="O11" s="433">
        <f t="shared" si="15"/>
        <v>0</v>
      </c>
      <c r="P11" s="431">
        <v>0</v>
      </c>
      <c r="Q11" s="431">
        <v>0</v>
      </c>
      <c r="R11" s="116">
        <f t="shared" si="5"/>
        <v>0</v>
      </c>
      <c r="S11" s="115">
        <f t="shared" si="1"/>
        <v>0</v>
      </c>
      <c r="T11" s="1436">
        <f t="shared" si="16"/>
        <v>0</v>
      </c>
      <c r="U11" s="450">
        <f t="shared" si="17"/>
        <v>0</v>
      </c>
      <c r="V11" s="431">
        <v>0</v>
      </c>
      <c r="W11" s="431">
        <v>0</v>
      </c>
      <c r="X11" s="99">
        <f t="shared" si="6"/>
        <v>0</v>
      </c>
      <c r="Y11" s="114">
        <f t="shared" si="2"/>
        <v>0</v>
      </c>
      <c r="Z11" s="115">
        <f t="shared" si="18"/>
        <v>0</v>
      </c>
      <c r="AA11" s="433">
        <f t="shared" si="19"/>
        <v>0</v>
      </c>
      <c r="AB11" s="431">
        <v>0</v>
      </c>
      <c r="AC11" s="431">
        <v>0</v>
      </c>
      <c r="AD11" s="99">
        <f t="shared" si="7"/>
        <v>0</v>
      </c>
      <c r="AE11" s="114">
        <f t="shared" si="3"/>
        <v>0</v>
      </c>
      <c r="AF11" s="1437">
        <f t="shared" si="20"/>
        <v>0</v>
      </c>
    </row>
    <row r="12" spans="2:35" s="111" customFormat="1" hidden="1">
      <c r="B12" s="500"/>
      <c r="C12" s="440">
        <v>0</v>
      </c>
      <c r="D12" s="441">
        <v>0</v>
      </c>
      <c r="E12" s="441">
        <v>0</v>
      </c>
      <c r="F12" s="114">
        <f t="shared" si="10"/>
        <v>0</v>
      </c>
      <c r="G12" s="115">
        <f t="shared" si="12"/>
        <v>0</v>
      </c>
      <c r="H12" s="1436">
        <f t="shared" ref="H12:H16" si="21">+E12*G12</f>
        <v>0</v>
      </c>
      <c r="I12" s="433">
        <f t="shared" si="13"/>
        <v>0</v>
      </c>
      <c r="J12" s="431">
        <v>0</v>
      </c>
      <c r="K12" s="431">
        <v>0</v>
      </c>
      <c r="L12" s="99">
        <f t="shared" si="4"/>
        <v>0</v>
      </c>
      <c r="M12" s="114">
        <f t="shared" si="0"/>
        <v>0</v>
      </c>
      <c r="N12" s="115">
        <f t="shared" si="14"/>
        <v>0</v>
      </c>
      <c r="O12" s="433">
        <f t="shared" si="15"/>
        <v>0</v>
      </c>
      <c r="P12" s="431">
        <v>0</v>
      </c>
      <c r="Q12" s="431">
        <v>0</v>
      </c>
      <c r="R12" s="116">
        <f t="shared" si="5"/>
        <v>0</v>
      </c>
      <c r="S12" s="115">
        <f t="shared" si="1"/>
        <v>0</v>
      </c>
      <c r="T12" s="1436">
        <f t="shared" si="16"/>
        <v>0</v>
      </c>
      <c r="U12" s="450">
        <f t="shared" si="17"/>
        <v>0</v>
      </c>
      <c r="V12" s="431">
        <v>0</v>
      </c>
      <c r="W12" s="431">
        <v>0</v>
      </c>
      <c r="X12" s="99">
        <f t="shared" si="6"/>
        <v>0</v>
      </c>
      <c r="Y12" s="114">
        <f t="shared" si="2"/>
        <v>0</v>
      </c>
      <c r="Z12" s="115">
        <f t="shared" si="18"/>
        <v>0</v>
      </c>
      <c r="AA12" s="433">
        <f t="shared" si="19"/>
        <v>0</v>
      </c>
      <c r="AB12" s="431">
        <v>0</v>
      </c>
      <c r="AC12" s="431">
        <v>0</v>
      </c>
      <c r="AD12" s="99">
        <f t="shared" si="7"/>
        <v>0</v>
      </c>
      <c r="AE12" s="114">
        <f t="shared" si="3"/>
        <v>0</v>
      </c>
      <c r="AF12" s="1437">
        <f t="shared" si="20"/>
        <v>0</v>
      </c>
    </row>
    <row r="13" spans="2:35" s="111" customFormat="1" hidden="1">
      <c r="B13" s="500"/>
      <c r="C13" s="440">
        <v>0</v>
      </c>
      <c r="D13" s="441">
        <v>0</v>
      </c>
      <c r="E13" s="441">
        <v>0</v>
      </c>
      <c r="F13" s="114">
        <f t="shared" si="10"/>
        <v>0</v>
      </c>
      <c r="G13" s="115">
        <f t="shared" si="12"/>
        <v>0</v>
      </c>
      <c r="H13" s="1436">
        <f t="shared" si="21"/>
        <v>0</v>
      </c>
      <c r="I13" s="433">
        <f t="shared" si="13"/>
        <v>0</v>
      </c>
      <c r="J13" s="431">
        <v>0</v>
      </c>
      <c r="K13" s="431">
        <v>0</v>
      </c>
      <c r="L13" s="99">
        <f t="shared" si="4"/>
        <v>0</v>
      </c>
      <c r="M13" s="114">
        <f t="shared" si="0"/>
        <v>0</v>
      </c>
      <c r="N13" s="115">
        <f t="shared" si="14"/>
        <v>0</v>
      </c>
      <c r="O13" s="433">
        <f t="shared" si="15"/>
        <v>0</v>
      </c>
      <c r="P13" s="431">
        <v>0</v>
      </c>
      <c r="Q13" s="431">
        <v>0</v>
      </c>
      <c r="R13" s="116">
        <f t="shared" si="5"/>
        <v>0</v>
      </c>
      <c r="S13" s="115">
        <f t="shared" si="1"/>
        <v>0</v>
      </c>
      <c r="T13" s="1436">
        <f t="shared" si="16"/>
        <v>0</v>
      </c>
      <c r="U13" s="450">
        <f t="shared" si="17"/>
        <v>0</v>
      </c>
      <c r="V13" s="431">
        <v>0</v>
      </c>
      <c r="W13" s="431">
        <v>0</v>
      </c>
      <c r="X13" s="99">
        <f t="shared" si="6"/>
        <v>0</v>
      </c>
      <c r="Y13" s="114">
        <f t="shared" si="2"/>
        <v>0</v>
      </c>
      <c r="Z13" s="115">
        <f t="shared" si="18"/>
        <v>0</v>
      </c>
      <c r="AA13" s="433">
        <f t="shared" si="19"/>
        <v>0</v>
      </c>
      <c r="AB13" s="431">
        <v>0</v>
      </c>
      <c r="AC13" s="431">
        <v>0</v>
      </c>
      <c r="AD13" s="99">
        <f t="shared" si="7"/>
        <v>0</v>
      </c>
      <c r="AE13" s="114">
        <f t="shared" si="3"/>
        <v>0</v>
      </c>
      <c r="AF13" s="1437">
        <f t="shared" si="20"/>
        <v>0</v>
      </c>
    </row>
    <row r="14" spans="2:35" s="111" customFormat="1" hidden="1">
      <c r="B14" s="500"/>
      <c r="C14" s="440">
        <v>0</v>
      </c>
      <c r="D14" s="441">
        <v>0</v>
      </c>
      <c r="E14" s="441">
        <v>0</v>
      </c>
      <c r="F14" s="114">
        <f t="shared" si="10"/>
        <v>0</v>
      </c>
      <c r="G14" s="115">
        <f t="shared" si="12"/>
        <v>0</v>
      </c>
      <c r="H14" s="1436">
        <f t="shared" si="21"/>
        <v>0</v>
      </c>
      <c r="I14" s="433">
        <f t="shared" si="13"/>
        <v>0</v>
      </c>
      <c r="J14" s="431">
        <v>0</v>
      </c>
      <c r="K14" s="431">
        <v>0</v>
      </c>
      <c r="L14" s="99">
        <f t="shared" si="4"/>
        <v>0</v>
      </c>
      <c r="M14" s="114">
        <f t="shared" si="0"/>
        <v>0</v>
      </c>
      <c r="N14" s="115">
        <f t="shared" si="14"/>
        <v>0</v>
      </c>
      <c r="O14" s="433">
        <f t="shared" si="15"/>
        <v>0</v>
      </c>
      <c r="P14" s="431">
        <v>0</v>
      </c>
      <c r="Q14" s="431">
        <v>0</v>
      </c>
      <c r="R14" s="116">
        <f t="shared" si="5"/>
        <v>0</v>
      </c>
      <c r="S14" s="115">
        <f t="shared" si="1"/>
        <v>0</v>
      </c>
      <c r="T14" s="1436">
        <f t="shared" si="16"/>
        <v>0</v>
      </c>
      <c r="U14" s="450">
        <f t="shared" si="17"/>
        <v>0</v>
      </c>
      <c r="V14" s="431">
        <v>0</v>
      </c>
      <c r="W14" s="431">
        <v>0</v>
      </c>
      <c r="X14" s="99">
        <f t="shared" si="6"/>
        <v>0</v>
      </c>
      <c r="Y14" s="114">
        <f t="shared" si="2"/>
        <v>0</v>
      </c>
      <c r="Z14" s="115">
        <f t="shared" si="18"/>
        <v>0</v>
      </c>
      <c r="AA14" s="433">
        <f t="shared" si="19"/>
        <v>0</v>
      </c>
      <c r="AB14" s="431">
        <v>0</v>
      </c>
      <c r="AC14" s="431">
        <v>0</v>
      </c>
      <c r="AD14" s="99">
        <f t="shared" si="7"/>
        <v>0</v>
      </c>
      <c r="AE14" s="114">
        <f t="shared" si="3"/>
        <v>0</v>
      </c>
      <c r="AF14" s="1437">
        <f t="shared" si="20"/>
        <v>0</v>
      </c>
    </row>
    <row r="15" spans="2:35" s="111" customFormat="1" hidden="1">
      <c r="B15" s="500"/>
      <c r="C15" s="440">
        <v>0</v>
      </c>
      <c r="D15" s="441">
        <v>0</v>
      </c>
      <c r="E15" s="441">
        <v>0</v>
      </c>
      <c r="F15" s="114">
        <f t="shared" si="10"/>
        <v>0</v>
      </c>
      <c r="G15" s="115">
        <f t="shared" si="12"/>
        <v>0</v>
      </c>
      <c r="H15" s="1436">
        <f t="shared" si="21"/>
        <v>0</v>
      </c>
      <c r="I15" s="433">
        <f t="shared" si="13"/>
        <v>0</v>
      </c>
      <c r="J15" s="431">
        <v>0</v>
      </c>
      <c r="K15" s="431">
        <v>0</v>
      </c>
      <c r="L15" s="99">
        <f t="shared" si="4"/>
        <v>0</v>
      </c>
      <c r="M15" s="114">
        <f t="shared" si="0"/>
        <v>0</v>
      </c>
      <c r="N15" s="115">
        <f t="shared" si="14"/>
        <v>0</v>
      </c>
      <c r="O15" s="433">
        <f t="shared" si="15"/>
        <v>0</v>
      </c>
      <c r="P15" s="431">
        <v>0</v>
      </c>
      <c r="Q15" s="431">
        <v>0</v>
      </c>
      <c r="R15" s="116">
        <f t="shared" si="5"/>
        <v>0</v>
      </c>
      <c r="S15" s="115">
        <f t="shared" si="1"/>
        <v>0</v>
      </c>
      <c r="T15" s="1436">
        <f t="shared" si="16"/>
        <v>0</v>
      </c>
      <c r="U15" s="450">
        <f t="shared" si="17"/>
        <v>0</v>
      </c>
      <c r="V15" s="431">
        <v>0</v>
      </c>
      <c r="W15" s="431">
        <v>0</v>
      </c>
      <c r="X15" s="99">
        <f t="shared" si="6"/>
        <v>0</v>
      </c>
      <c r="Y15" s="114">
        <f t="shared" si="2"/>
        <v>0</v>
      </c>
      <c r="Z15" s="115">
        <f t="shared" si="18"/>
        <v>0</v>
      </c>
      <c r="AA15" s="433">
        <f t="shared" si="19"/>
        <v>0</v>
      </c>
      <c r="AB15" s="431">
        <v>0</v>
      </c>
      <c r="AC15" s="431">
        <v>0</v>
      </c>
      <c r="AD15" s="99">
        <f t="shared" si="7"/>
        <v>0</v>
      </c>
      <c r="AE15" s="114">
        <f t="shared" si="3"/>
        <v>0</v>
      </c>
      <c r="AF15" s="1437">
        <f t="shared" si="20"/>
        <v>0</v>
      </c>
    </row>
    <row r="16" spans="2:35" s="111" customFormat="1" ht="13.5" hidden="1" thickBot="1">
      <c r="B16" s="501"/>
      <c r="C16" s="442">
        <v>0</v>
      </c>
      <c r="D16" s="443">
        <v>0</v>
      </c>
      <c r="E16" s="443">
        <v>0</v>
      </c>
      <c r="F16" s="135">
        <f t="shared" ref="F16" si="22">C16*D16</f>
        <v>0</v>
      </c>
      <c r="G16" s="136">
        <f t="shared" si="12"/>
        <v>0</v>
      </c>
      <c r="H16" s="1436">
        <f t="shared" si="21"/>
        <v>0</v>
      </c>
      <c r="I16" s="434">
        <f t="shared" si="13"/>
        <v>0</v>
      </c>
      <c r="J16" s="432">
        <v>0</v>
      </c>
      <c r="K16" s="432">
        <v>0</v>
      </c>
      <c r="L16" s="137">
        <f t="shared" si="4"/>
        <v>0</v>
      </c>
      <c r="M16" s="135">
        <f t="shared" si="0"/>
        <v>0</v>
      </c>
      <c r="N16" s="136">
        <f t="shared" si="14"/>
        <v>0</v>
      </c>
      <c r="O16" s="434">
        <f t="shared" si="15"/>
        <v>0</v>
      </c>
      <c r="P16" s="432">
        <v>0</v>
      </c>
      <c r="Q16" s="432">
        <v>0</v>
      </c>
      <c r="R16" s="138">
        <f t="shared" si="5"/>
        <v>0</v>
      </c>
      <c r="S16" s="136">
        <f t="shared" si="1"/>
        <v>0</v>
      </c>
      <c r="T16" s="1439">
        <f t="shared" si="16"/>
        <v>0</v>
      </c>
      <c r="U16" s="451">
        <f t="shared" si="17"/>
        <v>0</v>
      </c>
      <c r="V16" s="432">
        <v>0</v>
      </c>
      <c r="W16" s="432">
        <v>0</v>
      </c>
      <c r="X16" s="137">
        <f t="shared" si="6"/>
        <v>0</v>
      </c>
      <c r="Y16" s="135">
        <f t="shared" si="2"/>
        <v>0</v>
      </c>
      <c r="Z16" s="136">
        <f t="shared" si="18"/>
        <v>0</v>
      </c>
      <c r="AA16" s="434">
        <f t="shared" si="19"/>
        <v>0</v>
      </c>
      <c r="AB16" s="432">
        <v>0</v>
      </c>
      <c r="AC16" s="432">
        <v>0</v>
      </c>
      <c r="AD16" s="137">
        <f t="shared" si="7"/>
        <v>0</v>
      </c>
      <c r="AE16" s="135">
        <f t="shared" si="3"/>
        <v>0</v>
      </c>
      <c r="AF16" s="1440">
        <f t="shared" si="20"/>
        <v>0</v>
      </c>
    </row>
    <row r="17" spans="2:32" s="111" customFormat="1" ht="13.5" thickBot="1">
      <c r="B17" s="502" t="s">
        <v>70</v>
      </c>
      <c r="C17" s="503" t="s">
        <v>221</v>
      </c>
      <c r="D17" s="504" t="e">
        <f>SUM(D6:D16)</f>
        <v>#REF!</v>
      </c>
      <c r="E17" s="504" t="s">
        <v>221</v>
      </c>
      <c r="F17" s="505" t="e">
        <f>SUM(F6:F16)</f>
        <v>#REF!</v>
      </c>
      <c r="G17" s="505" t="e">
        <f>SUM(G6:G16)</f>
        <v>#REF!</v>
      </c>
      <c r="H17" s="1441" t="e">
        <f>SUM(H6:H16)</f>
        <v>#REF!</v>
      </c>
      <c r="I17" s="506" t="s">
        <v>221</v>
      </c>
      <c r="J17" s="507">
        <f>SUM(J6:J16)</f>
        <v>3</v>
      </c>
      <c r="K17" s="507" t="s">
        <v>221</v>
      </c>
      <c r="L17" s="505">
        <f>SUM(L6:L16)</f>
        <v>88880</v>
      </c>
      <c r="M17" s="505">
        <f>SUM(M6:M16)</f>
        <v>115544</v>
      </c>
      <c r="N17" s="1442">
        <f>SUM(N6:N16)</f>
        <v>1386.528</v>
      </c>
      <c r="O17" s="506" t="s">
        <v>221</v>
      </c>
      <c r="P17" s="507" t="e">
        <f>SUM(P6:P16)</f>
        <v>#REF!</v>
      </c>
      <c r="Q17" s="508" t="s">
        <v>221</v>
      </c>
      <c r="R17" s="509" t="e">
        <f>SUM(R6:R16)</f>
        <v>#REF!</v>
      </c>
      <c r="S17" s="1298" t="e">
        <f>SUM(S6:S16)</f>
        <v>#REF!</v>
      </c>
      <c r="T17" s="1441" t="e">
        <f>SUM(T6:T16)</f>
        <v>#REF!</v>
      </c>
      <c r="U17" s="508" t="s">
        <v>221</v>
      </c>
      <c r="V17" s="507" t="e">
        <f>SUM(V6:V16)</f>
        <v>#REF!</v>
      </c>
      <c r="W17" s="507" t="s">
        <v>221</v>
      </c>
      <c r="X17" s="505" t="e">
        <f>SUM(X6:X16)</f>
        <v>#REF!</v>
      </c>
      <c r="Y17" s="505" t="e">
        <f>SUM(Y6:Y16)</f>
        <v>#REF!</v>
      </c>
      <c r="Z17" s="1442" t="e">
        <f>SUM(Z6:Z16)</f>
        <v>#REF!</v>
      </c>
      <c r="AA17" s="506" t="s">
        <v>221</v>
      </c>
      <c r="AB17" s="507" t="e">
        <f>SUM(AB6:AB16)</f>
        <v>#REF!</v>
      </c>
      <c r="AC17" s="507" t="s">
        <v>221</v>
      </c>
      <c r="AD17" s="505" t="e">
        <f>SUM(AD6:AD16)</f>
        <v>#REF!</v>
      </c>
      <c r="AE17" s="505" t="e">
        <f>SUM(AE6:AE16)</f>
        <v>#REF!</v>
      </c>
      <c r="AF17" s="1443" t="e">
        <f>SUM(AF6:AF16)</f>
        <v>#REF!</v>
      </c>
    </row>
    <row r="18" spans="2:32" s="111" customFormat="1" ht="13.5" thickTop="1">
      <c r="B18" s="2189" t="s">
        <v>156</v>
      </c>
      <c r="C18" s="2191">
        <f>+AA4+1</f>
        <v>2024</v>
      </c>
      <c r="D18" s="2192"/>
      <c r="E18" s="2192"/>
      <c r="F18" s="2192"/>
      <c r="G18" s="2192"/>
      <c r="H18" s="2192"/>
      <c r="I18" s="2193">
        <f>C18+1</f>
        <v>2025</v>
      </c>
      <c r="J18" s="2194"/>
      <c r="K18" s="2194"/>
      <c r="L18" s="2194"/>
      <c r="M18" s="2194"/>
      <c r="N18" s="2195"/>
      <c r="O18" s="2196">
        <f>I18+1</f>
        <v>2026</v>
      </c>
      <c r="P18" s="2197"/>
      <c r="Q18" s="2197"/>
      <c r="R18" s="2197"/>
      <c r="S18" s="2197"/>
      <c r="T18" s="2198"/>
      <c r="U18" s="823"/>
      <c r="V18" s="823"/>
      <c r="W18" s="823"/>
      <c r="X18" s="824"/>
      <c r="Y18" s="824"/>
      <c r="Z18" s="825"/>
      <c r="AA18" s="823"/>
      <c r="AB18" s="823"/>
      <c r="AC18" s="823"/>
      <c r="AD18" s="824"/>
      <c r="AE18" s="824"/>
      <c r="AF18" s="825"/>
    </row>
    <row r="19" spans="2:32" s="111" customFormat="1" ht="103.5" thickBot="1">
      <c r="B19" s="2190"/>
      <c r="C19" s="127" t="s">
        <v>212</v>
      </c>
      <c r="D19" s="128" t="s">
        <v>220</v>
      </c>
      <c r="E19" s="128" t="s">
        <v>219</v>
      </c>
      <c r="F19" s="128" t="s">
        <v>213</v>
      </c>
      <c r="G19" s="129" t="s">
        <v>218</v>
      </c>
      <c r="H19" s="130" t="s">
        <v>332</v>
      </c>
      <c r="I19" s="127" t="s">
        <v>212</v>
      </c>
      <c r="J19" s="128" t="s">
        <v>220</v>
      </c>
      <c r="K19" s="128" t="s">
        <v>219</v>
      </c>
      <c r="L19" s="128" t="s">
        <v>213</v>
      </c>
      <c r="M19" s="129" t="s">
        <v>218</v>
      </c>
      <c r="N19" s="130" t="s">
        <v>332</v>
      </c>
      <c r="O19" s="127" t="s">
        <v>212</v>
      </c>
      <c r="P19" s="128" t="s">
        <v>220</v>
      </c>
      <c r="Q19" s="128" t="s">
        <v>219</v>
      </c>
      <c r="R19" s="128" t="s">
        <v>213</v>
      </c>
      <c r="S19" s="129" t="s">
        <v>218</v>
      </c>
      <c r="T19" s="499" t="s">
        <v>332</v>
      </c>
      <c r="U19" s="823"/>
      <c r="V19" s="2199" t="s">
        <v>402</v>
      </c>
      <c r="W19" s="2200"/>
      <c r="X19" s="2200"/>
      <c r="Y19" s="2200"/>
      <c r="Z19" s="2200"/>
      <c r="AA19" s="2200"/>
      <c r="AB19" s="2200"/>
      <c r="AC19" s="2200"/>
      <c r="AD19" s="2200"/>
      <c r="AE19" s="2200"/>
      <c r="AF19" s="2201"/>
    </row>
    <row r="20" spans="2:32" s="111" customFormat="1" ht="17.25" customHeight="1">
      <c r="B20" s="500" t="s">
        <v>596</v>
      </c>
      <c r="C20" s="436">
        <f>+AA6*1.012</f>
        <v>31780.789261900802</v>
      </c>
      <c r="D20" s="437" t="e">
        <f>+#REF!/60</f>
        <v>#REF!</v>
      </c>
      <c r="E20" s="437">
        <v>12</v>
      </c>
      <c r="F20" s="131" t="e">
        <f>C20*D20</f>
        <v>#REF!</v>
      </c>
      <c r="G20" s="123" t="e">
        <f>+F20*H34%+F20</f>
        <v>#REF!</v>
      </c>
      <c r="H20" s="1433" t="e">
        <f>+E20*G20/1000</f>
        <v>#REF!</v>
      </c>
      <c r="I20" s="435">
        <f>+C20*1.012</f>
        <v>32162.158733043612</v>
      </c>
      <c r="J20" s="822" t="e">
        <f>+#REF!/60</f>
        <v>#REF!</v>
      </c>
      <c r="K20" s="822">
        <v>12</v>
      </c>
      <c r="L20" s="134" t="e">
        <f>+I20*J20</f>
        <v>#REF!</v>
      </c>
      <c r="M20" s="131" t="e">
        <f>+L20*I34%+L20</f>
        <v>#REF!</v>
      </c>
      <c r="N20" s="123" t="e">
        <f>+K20*M20/1000</f>
        <v>#REF!</v>
      </c>
      <c r="O20" s="435">
        <f>+I20*1.012</f>
        <v>32548.104637840137</v>
      </c>
      <c r="P20" s="822" t="e">
        <f>+#REF!/60</f>
        <v>#REF!</v>
      </c>
      <c r="Q20" s="822">
        <v>12</v>
      </c>
      <c r="R20" s="132" t="e">
        <f>+O20*P20</f>
        <v>#REF!</v>
      </c>
      <c r="S20" s="123" t="e">
        <f>+R20*J34%+R20</f>
        <v>#REF!</v>
      </c>
      <c r="T20" s="1435" t="e">
        <f>+Q20*S20/1000</f>
        <v>#REF!</v>
      </c>
      <c r="U20" s="823"/>
      <c r="V20" s="823"/>
      <c r="W20" s="823"/>
      <c r="X20" s="824"/>
      <c r="Y20" s="824"/>
      <c r="Z20" s="825"/>
      <c r="AA20" s="823"/>
      <c r="AB20" s="823"/>
      <c r="AC20" s="823"/>
      <c r="AD20" s="824"/>
      <c r="AE20" s="824"/>
      <c r="AF20" s="825"/>
    </row>
    <row r="21" spans="2:32" s="111" customFormat="1" ht="17.25" customHeight="1">
      <c r="B21" s="500" t="s">
        <v>597</v>
      </c>
      <c r="C21" s="438">
        <f>+AA7*1.02</f>
        <v>30964.286770982399</v>
      </c>
      <c r="D21" s="439" t="e">
        <f>+#REF!/60</f>
        <v>#REF!</v>
      </c>
      <c r="E21" s="439">
        <v>12</v>
      </c>
      <c r="F21" s="112" t="e">
        <f>C21*D21</f>
        <v>#REF!</v>
      </c>
      <c r="G21" s="113" t="e">
        <f>+F21*H34%+F21</f>
        <v>#REF!</v>
      </c>
      <c r="H21" s="1436" t="e">
        <f t="shared" ref="H21:H30" si="23">+E21*G21/1000</f>
        <v>#REF!</v>
      </c>
      <c r="I21" s="433">
        <f>+C21*1.012</f>
        <v>31335.858212234187</v>
      </c>
      <c r="J21" s="431" t="e">
        <f>+#REF!/60</f>
        <v>#REF!</v>
      </c>
      <c r="K21" s="431">
        <v>12</v>
      </c>
      <c r="L21" s="99" t="e">
        <f t="shared" ref="L21:L30" si="24">+I21*J21</f>
        <v>#REF!</v>
      </c>
      <c r="M21" s="114" t="e">
        <f>+L21*I34%+L21</f>
        <v>#REF!</v>
      </c>
      <c r="N21" s="115" t="e">
        <f>+K21*M21/1000</f>
        <v>#REF!</v>
      </c>
      <c r="O21" s="433">
        <f>+I21*1.012</f>
        <v>31711.888510780998</v>
      </c>
      <c r="P21" s="431" t="e">
        <f>+#REF!/60</f>
        <v>#REF!</v>
      </c>
      <c r="Q21" s="431">
        <v>12</v>
      </c>
      <c r="R21" s="116" t="e">
        <f t="shared" ref="R21:R30" si="25">+O21*P21</f>
        <v>#REF!</v>
      </c>
      <c r="S21" s="115" t="e">
        <f>+R21*J34%+R21</f>
        <v>#REF!</v>
      </c>
      <c r="T21" s="1437" t="e">
        <f>+Q21*S21/1000</f>
        <v>#REF!</v>
      </c>
      <c r="U21" s="823"/>
      <c r="V21" s="2204" t="s">
        <v>470</v>
      </c>
      <c r="W21" s="2204"/>
      <c r="X21" s="2204"/>
      <c r="Y21" s="2204"/>
      <c r="Z21" s="2204"/>
      <c r="AA21" s="2204"/>
      <c r="AB21" s="2204"/>
      <c r="AC21" s="2204"/>
      <c r="AD21" s="2204"/>
      <c r="AE21" s="2204"/>
      <c r="AF21" s="2204"/>
    </row>
    <row r="22" spans="2:32" s="111" customFormat="1" ht="17.25" customHeight="1">
      <c r="B22" s="500" t="s">
        <v>331</v>
      </c>
      <c r="C22" s="440">
        <f>+AA8*1.012</f>
        <v>34000.001160294407</v>
      </c>
      <c r="D22" s="441">
        <v>1</v>
      </c>
      <c r="E22" s="441">
        <v>12</v>
      </c>
      <c r="F22" s="114">
        <f t="shared" ref="F22:F30" si="26">C22*D22</f>
        <v>34000.001160294407</v>
      </c>
      <c r="G22" s="115">
        <f>+F22*H34%+F22</f>
        <v>44200.001508382731</v>
      </c>
      <c r="H22" s="1438">
        <f t="shared" si="23"/>
        <v>530.40001810059277</v>
      </c>
      <c r="I22" s="433">
        <f>+C22*1.012</f>
        <v>34408.001174217941</v>
      </c>
      <c r="J22" s="431">
        <v>1</v>
      </c>
      <c r="K22" s="431">
        <v>12</v>
      </c>
      <c r="L22" s="99">
        <f t="shared" si="24"/>
        <v>34408.001174217941</v>
      </c>
      <c r="M22" s="114">
        <f>+L22*I34%+L22</f>
        <v>44730.401526483322</v>
      </c>
      <c r="N22" s="115">
        <f>+K22*M22/1000</f>
        <v>536.76481831779984</v>
      </c>
      <c r="O22" s="433">
        <f>+I22*1.012</f>
        <v>34820.897188308554</v>
      </c>
      <c r="P22" s="431">
        <v>1</v>
      </c>
      <c r="Q22" s="431">
        <v>12</v>
      </c>
      <c r="R22" s="116">
        <f t="shared" si="25"/>
        <v>34820.897188308554</v>
      </c>
      <c r="S22" s="115">
        <f>+R22*J34%+R22</f>
        <v>45267.166344801124</v>
      </c>
      <c r="T22" s="1437">
        <f>+Q22*S22/1000</f>
        <v>543.2059961376134</v>
      </c>
      <c r="U22" s="823"/>
      <c r="V22" s="2205"/>
      <c r="W22" s="2205"/>
      <c r="X22" s="2205"/>
      <c r="Y22" s="2205"/>
      <c r="Z22" s="2205"/>
      <c r="AA22" s="2205"/>
      <c r="AB22" s="2205"/>
      <c r="AC22" s="2205"/>
      <c r="AD22" s="2205"/>
      <c r="AE22" s="2205"/>
      <c r="AF22" s="2205"/>
    </row>
    <row r="23" spans="2:32" s="111" customFormat="1" ht="12.75" hidden="1" customHeight="1">
      <c r="B23" s="500"/>
      <c r="C23" s="440">
        <v>0</v>
      </c>
      <c r="D23" s="441">
        <v>0</v>
      </c>
      <c r="E23" s="441">
        <v>0</v>
      </c>
      <c r="F23" s="114">
        <f t="shared" si="26"/>
        <v>0</v>
      </c>
      <c r="G23" s="115">
        <f t="shared" ref="G23:G30" si="27">+F23*C48%+F23</f>
        <v>0</v>
      </c>
      <c r="H23" s="1438">
        <f t="shared" si="23"/>
        <v>0</v>
      </c>
      <c r="I23" s="433">
        <f t="shared" ref="I23:I30" si="28">+C23*1.02</f>
        <v>0</v>
      </c>
      <c r="J23" s="431">
        <v>0</v>
      </c>
      <c r="K23" s="431">
        <v>0</v>
      </c>
      <c r="L23" s="99">
        <f t="shared" si="24"/>
        <v>0</v>
      </c>
      <c r="M23" s="114">
        <f t="shared" ref="M23:M30" si="29">+L23*$D$34%+L23</f>
        <v>0</v>
      </c>
      <c r="N23" s="115">
        <f t="shared" ref="N23:N30" si="30">+K23*M23/1000</f>
        <v>0</v>
      </c>
      <c r="O23" s="433">
        <f t="shared" ref="O23:O30" si="31">+I23*1.02</f>
        <v>0</v>
      </c>
      <c r="P23" s="431">
        <v>0</v>
      </c>
      <c r="Q23" s="431">
        <v>0</v>
      </c>
      <c r="R23" s="116">
        <f t="shared" si="25"/>
        <v>0</v>
      </c>
      <c r="S23" s="115">
        <f t="shared" ref="S23:S30" si="32">+R23*$E$34%+R23</f>
        <v>0</v>
      </c>
      <c r="T23" s="1437">
        <f t="shared" ref="T23:T30" si="33">+Q23*S23/1000</f>
        <v>0</v>
      </c>
      <c r="U23" s="823"/>
      <c r="V23" s="2205"/>
      <c r="W23" s="2205"/>
      <c r="X23" s="2205"/>
      <c r="Y23" s="2205"/>
      <c r="Z23" s="2205"/>
      <c r="AA23" s="2205"/>
      <c r="AB23" s="2205"/>
      <c r="AC23" s="2205"/>
      <c r="AD23" s="2205"/>
      <c r="AE23" s="2205"/>
      <c r="AF23" s="2205"/>
    </row>
    <row r="24" spans="2:32" s="111" customFormat="1" ht="12.75" hidden="1" customHeight="1">
      <c r="B24" s="500"/>
      <c r="C24" s="440">
        <v>0</v>
      </c>
      <c r="D24" s="441">
        <v>0</v>
      </c>
      <c r="E24" s="441">
        <v>0</v>
      </c>
      <c r="F24" s="114">
        <f t="shared" si="26"/>
        <v>0</v>
      </c>
      <c r="G24" s="115">
        <f t="shared" si="27"/>
        <v>0</v>
      </c>
      <c r="H24" s="1438">
        <f t="shared" si="23"/>
        <v>0</v>
      </c>
      <c r="I24" s="433">
        <f t="shared" si="28"/>
        <v>0</v>
      </c>
      <c r="J24" s="431">
        <v>0</v>
      </c>
      <c r="K24" s="431">
        <v>0</v>
      </c>
      <c r="L24" s="99">
        <f t="shared" si="24"/>
        <v>0</v>
      </c>
      <c r="M24" s="114">
        <f t="shared" si="29"/>
        <v>0</v>
      </c>
      <c r="N24" s="115">
        <f t="shared" si="30"/>
        <v>0</v>
      </c>
      <c r="O24" s="433">
        <f t="shared" si="31"/>
        <v>0</v>
      </c>
      <c r="P24" s="431">
        <v>0</v>
      </c>
      <c r="Q24" s="431">
        <v>0</v>
      </c>
      <c r="R24" s="116">
        <f t="shared" si="25"/>
        <v>0</v>
      </c>
      <c r="S24" s="115">
        <f t="shared" si="32"/>
        <v>0</v>
      </c>
      <c r="T24" s="1437">
        <f t="shared" si="33"/>
        <v>0</v>
      </c>
      <c r="U24" s="823"/>
      <c r="V24" s="2205"/>
      <c r="W24" s="2205"/>
      <c r="X24" s="2205"/>
      <c r="Y24" s="2205"/>
      <c r="Z24" s="2205"/>
      <c r="AA24" s="2205"/>
      <c r="AB24" s="2205"/>
      <c r="AC24" s="2205"/>
      <c r="AD24" s="2205"/>
      <c r="AE24" s="2205"/>
      <c r="AF24" s="2205"/>
    </row>
    <row r="25" spans="2:32" s="111" customFormat="1" ht="12.75" hidden="1" customHeight="1">
      <c r="B25" s="500"/>
      <c r="C25" s="440">
        <v>0</v>
      </c>
      <c r="D25" s="441">
        <v>0</v>
      </c>
      <c r="E25" s="441">
        <v>0</v>
      </c>
      <c r="F25" s="114">
        <f t="shared" si="26"/>
        <v>0</v>
      </c>
      <c r="G25" s="115">
        <f t="shared" si="27"/>
        <v>0</v>
      </c>
      <c r="H25" s="1438">
        <f t="shared" si="23"/>
        <v>0</v>
      </c>
      <c r="I25" s="433">
        <f t="shared" si="28"/>
        <v>0</v>
      </c>
      <c r="J25" s="431">
        <v>0</v>
      </c>
      <c r="K25" s="431">
        <v>0</v>
      </c>
      <c r="L25" s="99">
        <f t="shared" si="24"/>
        <v>0</v>
      </c>
      <c r="M25" s="114">
        <f t="shared" si="29"/>
        <v>0</v>
      </c>
      <c r="N25" s="115">
        <f t="shared" si="30"/>
        <v>0</v>
      </c>
      <c r="O25" s="433">
        <f t="shared" si="31"/>
        <v>0</v>
      </c>
      <c r="P25" s="431">
        <v>0</v>
      </c>
      <c r="Q25" s="431">
        <v>0</v>
      </c>
      <c r="R25" s="116">
        <f t="shared" si="25"/>
        <v>0</v>
      </c>
      <c r="S25" s="115">
        <f t="shared" si="32"/>
        <v>0</v>
      </c>
      <c r="T25" s="1437">
        <f t="shared" si="33"/>
        <v>0</v>
      </c>
      <c r="U25" s="823"/>
      <c r="V25" s="2205"/>
      <c r="W25" s="2205"/>
      <c r="X25" s="2205"/>
      <c r="Y25" s="2205"/>
      <c r="Z25" s="2205"/>
      <c r="AA25" s="2205"/>
      <c r="AB25" s="2205"/>
      <c r="AC25" s="2205"/>
      <c r="AD25" s="2205"/>
      <c r="AE25" s="2205"/>
      <c r="AF25" s="2205"/>
    </row>
    <row r="26" spans="2:32" s="111" customFormat="1" ht="12.75" hidden="1" customHeight="1">
      <c r="B26" s="500"/>
      <c r="C26" s="440">
        <v>0</v>
      </c>
      <c r="D26" s="441">
        <v>0</v>
      </c>
      <c r="E26" s="441">
        <v>0</v>
      </c>
      <c r="F26" s="114">
        <f t="shared" si="26"/>
        <v>0</v>
      </c>
      <c r="G26" s="115">
        <f t="shared" si="27"/>
        <v>0</v>
      </c>
      <c r="H26" s="1438">
        <f t="shared" si="23"/>
        <v>0</v>
      </c>
      <c r="I26" s="433">
        <f t="shared" si="28"/>
        <v>0</v>
      </c>
      <c r="J26" s="431">
        <v>0</v>
      </c>
      <c r="K26" s="431">
        <v>0</v>
      </c>
      <c r="L26" s="99">
        <f t="shared" si="24"/>
        <v>0</v>
      </c>
      <c r="M26" s="114">
        <f t="shared" si="29"/>
        <v>0</v>
      </c>
      <c r="N26" s="115">
        <f t="shared" si="30"/>
        <v>0</v>
      </c>
      <c r="O26" s="433">
        <f t="shared" si="31"/>
        <v>0</v>
      </c>
      <c r="P26" s="431">
        <v>0</v>
      </c>
      <c r="Q26" s="431">
        <v>0</v>
      </c>
      <c r="R26" s="116">
        <f t="shared" si="25"/>
        <v>0</v>
      </c>
      <c r="S26" s="115">
        <f t="shared" si="32"/>
        <v>0</v>
      </c>
      <c r="T26" s="1437">
        <f t="shared" si="33"/>
        <v>0</v>
      </c>
      <c r="U26" s="823"/>
      <c r="V26" s="2205"/>
      <c r="W26" s="2205"/>
      <c r="X26" s="2205"/>
      <c r="Y26" s="2205"/>
      <c r="Z26" s="2205"/>
      <c r="AA26" s="2205"/>
      <c r="AB26" s="2205"/>
      <c r="AC26" s="2205"/>
      <c r="AD26" s="2205"/>
      <c r="AE26" s="2205"/>
      <c r="AF26" s="2205"/>
    </row>
    <row r="27" spans="2:32" s="111" customFormat="1" ht="12.75" hidden="1" customHeight="1">
      <c r="B27" s="500"/>
      <c r="C27" s="440">
        <v>0</v>
      </c>
      <c r="D27" s="441">
        <v>0</v>
      </c>
      <c r="E27" s="441">
        <v>0</v>
      </c>
      <c r="F27" s="114">
        <f t="shared" si="26"/>
        <v>0</v>
      </c>
      <c r="G27" s="115">
        <f t="shared" si="27"/>
        <v>0</v>
      </c>
      <c r="H27" s="1438">
        <f t="shared" si="23"/>
        <v>0</v>
      </c>
      <c r="I27" s="433">
        <f t="shared" si="28"/>
        <v>0</v>
      </c>
      <c r="J27" s="431">
        <v>0</v>
      </c>
      <c r="K27" s="431">
        <v>0</v>
      </c>
      <c r="L27" s="99">
        <f t="shared" si="24"/>
        <v>0</v>
      </c>
      <c r="M27" s="114">
        <f t="shared" si="29"/>
        <v>0</v>
      </c>
      <c r="N27" s="115">
        <f t="shared" si="30"/>
        <v>0</v>
      </c>
      <c r="O27" s="433">
        <f t="shared" si="31"/>
        <v>0</v>
      </c>
      <c r="P27" s="431">
        <v>0</v>
      </c>
      <c r="Q27" s="431">
        <v>0</v>
      </c>
      <c r="R27" s="116">
        <f t="shared" si="25"/>
        <v>0</v>
      </c>
      <c r="S27" s="115">
        <f t="shared" si="32"/>
        <v>0</v>
      </c>
      <c r="T27" s="1437">
        <f t="shared" si="33"/>
        <v>0</v>
      </c>
      <c r="U27" s="823"/>
      <c r="V27" s="2205"/>
      <c r="W27" s="2205"/>
      <c r="X27" s="2205"/>
      <c r="Y27" s="2205"/>
      <c r="Z27" s="2205"/>
      <c r="AA27" s="2205"/>
      <c r="AB27" s="2205"/>
      <c r="AC27" s="2205"/>
      <c r="AD27" s="2205"/>
      <c r="AE27" s="2205"/>
      <c r="AF27" s="2205"/>
    </row>
    <row r="28" spans="2:32" s="111" customFormat="1" ht="12.75" hidden="1" customHeight="1">
      <c r="B28" s="500"/>
      <c r="C28" s="440">
        <v>0</v>
      </c>
      <c r="D28" s="441">
        <v>0</v>
      </c>
      <c r="E28" s="441">
        <v>0</v>
      </c>
      <c r="F28" s="114">
        <f t="shared" si="26"/>
        <v>0</v>
      </c>
      <c r="G28" s="115">
        <f t="shared" si="27"/>
        <v>0</v>
      </c>
      <c r="H28" s="1438">
        <f t="shared" si="23"/>
        <v>0</v>
      </c>
      <c r="I28" s="433">
        <f t="shared" si="28"/>
        <v>0</v>
      </c>
      <c r="J28" s="431">
        <v>0</v>
      </c>
      <c r="K28" s="431">
        <v>0</v>
      </c>
      <c r="L28" s="99">
        <f t="shared" si="24"/>
        <v>0</v>
      </c>
      <c r="M28" s="114">
        <f t="shared" si="29"/>
        <v>0</v>
      </c>
      <c r="N28" s="115">
        <f t="shared" si="30"/>
        <v>0</v>
      </c>
      <c r="O28" s="433">
        <f t="shared" si="31"/>
        <v>0</v>
      </c>
      <c r="P28" s="431">
        <v>0</v>
      </c>
      <c r="Q28" s="431">
        <v>0</v>
      </c>
      <c r="R28" s="116">
        <f t="shared" si="25"/>
        <v>0</v>
      </c>
      <c r="S28" s="115">
        <f t="shared" si="32"/>
        <v>0</v>
      </c>
      <c r="T28" s="1437">
        <f t="shared" si="33"/>
        <v>0</v>
      </c>
      <c r="U28" s="823"/>
      <c r="V28" s="2205"/>
      <c r="W28" s="2205"/>
      <c r="X28" s="2205"/>
      <c r="Y28" s="2205"/>
      <c r="Z28" s="2205"/>
      <c r="AA28" s="2205"/>
      <c r="AB28" s="2205"/>
      <c r="AC28" s="2205"/>
      <c r="AD28" s="2205"/>
      <c r="AE28" s="2205"/>
      <c r="AF28" s="2205"/>
    </row>
    <row r="29" spans="2:32" s="111" customFormat="1" ht="12.75" hidden="1" customHeight="1">
      <c r="B29" s="500"/>
      <c r="C29" s="440">
        <v>0</v>
      </c>
      <c r="D29" s="441">
        <v>0</v>
      </c>
      <c r="E29" s="441">
        <v>0</v>
      </c>
      <c r="F29" s="114">
        <f t="shared" si="26"/>
        <v>0</v>
      </c>
      <c r="G29" s="115">
        <f t="shared" si="27"/>
        <v>0</v>
      </c>
      <c r="H29" s="1438">
        <f t="shared" si="23"/>
        <v>0</v>
      </c>
      <c r="I29" s="433">
        <f t="shared" si="28"/>
        <v>0</v>
      </c>
      <c r="J29" s="431">
        <v>0</v>
      </c>
      <c r="K29" s="431">
        <v>0</v>
      </c>
      <c r="L29" s="99">
        <f t="shared" si="24"/>
        <v>0</v>
      </c>
      <c r="M29" s="114">
        <f t="shared" si="29"/>
        <v>0</v>
      </c>
      <c r="N29" s="115">
        <f t="shared" si="30"/>
        <v>0</v>
      </c>
      <c r="O29" s="433">
        <f t="shared" si="31"/>
        <v>0</v>
      </c>
      <c r="P29" s="431">
        <v>0</v>
      </c>
      <c r="Q29" s="431">
        <v>0</v>
      </c>
      <c r="R29" s="116">
        <f t="shared" si="25"/>
        <v>0</v>
      </c>
      <c r="S29" s="115">
        <f t="shared" si="32"/>
        <v>0</v>
      </c>
      <c r="T29" s="1437">
        <f t="shared" si="33"/>
        <v>0</v>
      </c>
      <c r="U29" s="823"/>
      <c r="V29" s="2205"/>
      <c r="W29" s="2205"/>
      <c r="X29" s="2205"/>
      <c r="Y29" s="2205"/>
      <c r="Z29" s="2205"/>
      <c r="AA29" s="2205"/>
      <c r="AB29" s="2205"/>
      <c r="AC29" s="2205"/>
      <c r="AD29" s="2205"/>
      <c r="AE29" s="2205"/>
      <c r="AF29" s="2205"/>
    </row>
    <row r="30" spans="2:32" s="111" customFormat="1" ht="13.5" thickBot="1">
      <c r="B30" s="501" t="s">
        <v>612</v>
      </c>
      <c r="C30" s="442">
        <v>35000</v>
      </c>
      <c r="D30" s="443">
        <v>1</v>
      </c>
      <c r="E30" s="443">
        <v>3</v>
      </c>
      <c r="F30" s="135">
        <f t="shared" si="26"/>
        <v>35000</v>
      </c>
      <c r="G30" s="136">
        <f t="shared" si="27"/>
        <v>35000</v>
      </c>
      <c r="H30" s="1438">
        <f t="shared" si="23"/>
        <v>105</v>
      </c>
      <c r="I30" s="434">
        <f t="shared" si="28"/>
        <v>35700</v>
      </c>
      <c r="J30" s="432">
        <v>1</v>
      </c>
      <c r="K30" s="432">
        <v>3</v>
      </c>
      <c r="L30" s="137">
        <f t="shared" si="24"/>
        <v>35700</v>
      </c>
      <c r="M30" s="135">
        <f t="shared" si="29"/>
        <v>46410</v>
      </c>
      <c r="N30" s="115">
        <f t="shared" si="30"/>
        <v>139.22999999999999</v>
      </c>
      <c r="O30" s="434">
        <f t="shared" si="31"/>
        <v>36414</v>
      </c>
      <c r="P30" s="432">
        <v>1</v>
      </c>
      <c r="Q30" s="432">
        <v>3</v>
      </c>
      <c r="R30" s="138">
        <f t="shared" si="25"/>
        <v>36414</v>
      </c>
      <c r="S30" s="136">
        <f t="shared" si="32"/>
        <v>47338.2</v>
      </c>
      <c r="T30" s="1437">
        <f t="shared" si="33"/>
        <v>142.01459999999997</v>
      </c>
      <c r="U30" s="823"/>
      <c r="V30" s="2205"/>
      <c r="W30" s="2205"/>
      <c r="X30" s="2205"/>
      <c r="Y30" s="2205"/>
      <c r="Z30" s="2205"/>
      <c r="AA30" s="2205"/>
      <c r="AB30" s="2205"/>
      <c r="AC30" s="2205"/>
      <c r="AD30" s="2205"/>
      <c r="AE30" s="2205"/>
      <c r="AF30" s="2205"/>
    </row>
    <row r="31" spans="2:32" s="111" customFormat="1" ht="13.5" thickBot="1">
      <c r="B31" s="502" t="s">
        <v>70</v>
      </c>
      <c r="C31" s="503" t="s">
        <v>221</v>
      </c>
      <c r="D31" s="504" t="e">
        <f>SUM(D20:D30)</f>
        <v>#REF!</v>
      </c>
      <c r="E31" s="504" t="s">
        <v>221</v>
      </c>
      <c r="F31" s="505" t="e">
        <f>SUM(F20:F30)</f>
        <v>#REF!</v>
      </c>
      <c r="G31" s="505" t="e">
        <f>SUM(G20:G30)</f>
        <v>#REF!</v>
      </c>
      <c r="H31" s="1441" t="e">
        <f>SUM(H20:H30)</f>
        <v>#REF!</v>
      </c>
      <c r="I31" s="506" t="s">
        <v>221</v>
      </c>
      <c r="J31" s="507" t="e">
        <f>SUM(J20:J30)</f>
        <v>#REF!</v>
      </c>
      <c r="K31" s="507" t="s">
        <v>221</v>
      </c>
      <c r="L31" s="505" t="e">
        <f>SUM(L20:L30)</f>
        <v>#REF!</v>
      </c>
      <c r="M31" s="505" t="e">
        <f>SUM(M20:M30)</f>
        <v>#REF!</v>
      </c>
      <c r="N31" s="1442" t="e">
        <f>SUM(N20:N30)</f>
        <v>#REF!</v>
      </c>
      <c r="O31" s="506" t="s">
        <v>221</v>
      </c>
      <c r="P31" s="507" t="e">
        <f>SUM(P20:P30)</f>
        <v>#REF!</v>
      </c>
      <c r="Q31" s="508" t="s">
        <v>221</v>
      </c>
      <c r="R31" s="509" t="e">
        <f>SUM(R20:R30)</f>
        <v>#REF!</v>
      </c>
      <c r="S31" s="1298" t="e">
        <f>SUM(S20:S30)</f>
        <v>#REF!</v>
      </c>
      <c r="T31" s="1443" t="e">
        <f>SUM(T20:T30)</f>
        <v>#REF!</v>
      </c>
      <c r="U31" s="823"/>
      <c r="V31" s="823"/>
      <c r="W31" s="823"/>
      <c r="X31" s="824"/>
      <c r="Y31" s="824"/>
      <c r="Z31" s="825"/>
      <c r="AA31" s="823"/>
      <c r="AB31" s="823"/>
      <c r="AC31" s="823"/>
      <c r="AD31" s="824"/>
      <c r="AE31" s="824"/>
      <c r="AF31" s="825"/>
    </row>
    <row r="32" spans="2:32" s="111" customFormat="1" ht="15.75" customHeight="1" thickTop="1">
      <c r="B32" s="2223" t="s">
        <v>88</v>
      </c>
      <c r="C32" s="2224"/>
      <c r="D32" s="2224"/>
      <c r="E32" s="2224"/>
      <c r="F32" s="2224"/>
      <c r="G32" s="2224"/>
      <c r="H32" s="989"/>
      <c r="I32" s="989"/>
      <c r="J32" s="990"/>
      <c r="K32" s="124"/>
      <c r="L32" s="124"/>
    </row>
    <row r="33" spans="2:30" s="111" customFormat="1">
      <c r="B33" s="2216" t="s">
        <v>91</v>
      </c>
      <c r="C33" s="117">
        <v>2019</v>
      </c>
      <c r="D33" s="117">
        <f>C33+1</f>
        <v>2020</v>
      </c>
      <c r="E33" s="117">
        <f>D33+1</f>
        <v>2021</v>
      </c>
      <c r="F33" s="117">
        <f>E33+1</f>
        <v>2022</v>
      </c>
      <c r="G33" s="820">
        <f>F33+1</f>
        <v>2023</v>
      </c>
      <c r="H33" s="820">
        <f t="shared" ref="H33:J33" si="34">G33+1</f>
        <v>2024</v>
      </c>
      <c r="I33" s="820">
        <f t="shared" si="34"/>
        <v>2025</v>
      </c>
      <c r="J33" s="118">
        <f t="shared" si="34"/>
        <v>2026</v>
      </c>
      <c r="K33" s="125"/>
      <c r="L33" s="125"/>
    </row>
    <row r="34" spans="2:30" s="111" customFormat="1" ht="50.25" customHeight="1" thickBot="1">
      <c r="B34" s="2217"/>
      <c r="C34" s="119">
        <f>22+5.1+2.9</f>
        <v>30</v>
      </c>
      <c r="D34" s="120">
        <f>C34</f>
        <v>30</v>
      </c>
      <c r="E34" s="120">
        <f>D34</f>
        <v>30</v>
      </c>
      <c r="F34" s="120">
        <f>E34</f>
        <v>30</v>
      </c>
      <c r="G34" s="821">
        <f>F34</f>
        <v>30</v>
      </c>
      <c r="H34" s="821">
        <f t="shared" ref="H34:J34" si="35">G34</f>
        <v>30</v>
      </c>
      <c r="I34" s="821">
        <f t="shared" si="35"/>
        <v>30</v>
      </c>
      <c r="J34" s="121">
        <f t="shared" si="35"/>
        <v>30</v>
      </c>
      <c r="N34" s="2221" t="s">
        <v>77</v>
      </c>
      <c r="O34" s="2222"/>
      <c r="P34" s="2222"/>
      <c r="Q34" s="2222"/>
      <c r="R34" s="2222"/>
      <c r="S34" s="2222"/>
      <c r="T34" s="140"/>
      <c r="U34" s="140"/>
      <c r="V34" s="140"/>
      <c r="W34" s="140"/>
      <c r="X34" s="140"/>
      <c r="Y34" s="140"/>
      <c r="Z34" s="126"/>
      <c r="AA34" s="126"/>
      <c r="AB34" s="126"/>
      <c r="AC34" s="126"/>
      <c r="AD34" s="1406"/>
    </row>
    <row r="35" spans="2:30" s="111" customFormat="1"/>
    <row r="36" spans="2:30" s="111" customFormat="1" ht="15.75" customHeight="1">
      <c r="B36" s="2218" t="s">
        <v>155</v>
      </c>
      <c r="C36" s="2219"/>
      <c r="D36" s="2219"/>
      <c r="E36" s="2219"/>
      <c r="F36" s="2219"/>
      <c r="G36" s="2219"/>
      <c r="H36" s="2219"/>
      <c r="I36" s="2219"/>
      <c r="J36" s="2219"/>
      <c r="K36" s="2219"/>
      <c r="L36" s="2219"/>
      <c r="M36" s="2220"/>
      <c r="N36" s="139"/>
      <c r="O36" s="139"/>
      <c r="P36" s="139"/>
      <c r="Q36" s="139"/>
    </row>
    <row r="37" spans="2:30" s="111" customFormat="1" ht="22.5" customHeight="1">
      <c r="B37" s="2206" t="s">
        <v>214</v>
      </c>
      <c r="C37" s="2206"/>
      <c r="D37" s="2206"/>
      <c r="E37" s="2206"/>
      <c r="F37" s="2206"/>
      <c r="G37" s="2206"/>
      <c r="H37" s="2206"/>
      <c r="I37" s="2206"/>
      <c r="J37" s="2206"/>
      <c r="K37" s="2206"/>
      <c r="L37" s="2206"/>
      <c r="M37" s="2206"/>
      <c r="N37" s="1384"/>
      <c r="O37" s="1384"/>
      <c r="P37" s="1384"/>
      <c r="Q37" s="1384"/>
    </row>
    <row r="38" spans="2:30" s="111" customFormat="1">
      <c r="B38" s="2206"/>
      <c r="C38" s="2206"/>
      <c r="D38" s="2206"/>
      <c r="E38" s="2206"/>
      <c r="F38" s="2206"/>
      <c r="G38" s="2206"/>
      <c r="H38" s="2206"/>
      <c r="I38" s="2206"/>
      <c r="J38" s="2206"/>
      <c r="K38" s="2206"/>
      <c r="L38" s="2206"/>
      <c r="M38" s="2206"/>
      <c r="N38" s="1384"/>
      <c r="O38" s="1384"/>
      <c r="P38" s="1384"/>
      <c r="Q38" s="1384"/>
    </row>
    <row r="39" spans="2:30" s="111" customFormat="1" ht="15.75" customHeight="1">
      <c r="B39" s="2207" t="s">
        <v>215</v>
      </c>
      <c r="C39" s="2208"/>
      <c r="D39" s="2208"/>
      <c r="E39" s="2208"/>
      <c r="F39" s="2208"/>
      <c r="G39" s="2208"/>
      <c r="H39" s="2208"/>
      <c r="I39" s="2208"/>
      <c r="J39" s="2208"/>
      <c r="K39" s="2208"/>
      <c r="L39" s="2208"/>
      <c r="M39" s="2209"/>
      <c r="N39" s="1384"/>
      <c r="O39" s="1384"/>
      <c r="P39" s="1384"/>
      <c r="Q39" s="1384"/>
    </row>
    <row r="40" spans="2:30">
      <c r="B40" s="2210"/>
      <c r="C40" s="2211"/>
      <c r="D40" s="2211"/>
      <c r="E40" s="2211"/>
      <c r="F40" s="2211"/>
      <c r="G40" s="2211"/>
      <c r="H40" s="2211"/>
      <c r="I40" s="2211"/>
      <c r="J40" s="2211"/>
      <c r="K40" s="2211"/>
      <c r="L40" s="2211"/>
      <c r="M40" s="2212"/>
      <c r="N40" s="1384"/>
      <c r="O40" s="1384"/>
      <c r="P40" s="1384" t="e">
        <f>+F6*E6</f>
        <v>#REF!</v>
      </c>
      <c r="Q40" s="1384"/>
    </row>
    <row r="41" spans="2:30">
      <c r="B41" s="2210"/>
      <c r="C41" s="2211"/>
      <c r="D41" s="2211"/>
      <c r="E41" s="2211"/>
      <c r="F41" s="2211"/>
      <c r="G41" s="2211"/>
      <c r="H41" s="2211"/>
      <c r="I41" s="2211"/>
      <c r="J41" s="2211"/>
      <c r="K41" s="2211"/>
      <c r="L41" s="2211"/>
      <c r="M41" s="2212"/>
      <c r="N41" s="1384"/>
      <c r="O41" s="1384"/>
      <c r="P41" s="1384" t="e">
        <f t="shared" ref="P41:P43" si="36">+F7*E7</f>
        <v>#REF!</v>
      </c>
      <c r="Q41" s="1384"/>
    </row>
    <row r="42" spans="2:30" ht="15.75" customHeight="1">
      <c r="B42" s="2207" t="s">
        <v>216</v>
      </c>
      <c r="C42" s="2208"/>
      <c r="D42" s="2208"/>
      <c r="E42" s="2208"/>
      <c r="F42" s="2208"/>
      <c r="G42" s="2208"/>
      <c r="H42" s="2208"/>
      <c r="I42" s="2208"/>
      <c r="J42" s="2208"/>
      <c r="K42" s="2208"/>
      <c r="L42" s="2208"/>
      <c r="M42" s="2209"/>
      <c r="N42" s="1384"/>
      <c r="O42" s="1384"/>
      <c r="P42" s="1384">
        <f t="shared" si="36"/>
        <v>348000</v>
      </c>
      <c r="Q42" s="1384"/>
    </row>
    <row r="43" spans="2:30">
      <c r="B43" s="2210"/>
      <c r="C43" s="2211"/>
      <c r="D43" s="2211"/>
      <c r="E43" s="2211"/>
      <c r="F43" s="2211"/>
      <c r="G43" s="2211"/>
      <c r="H43" s="2211"/>
      <c r="I43" s="2211"/>
      <c r="J43" s="2211"/>
      <c r="K43" s="2211"/>
      <c r="L43" s="2211"/>
      <c r="M43" s="2212"/>
      <c r="N43" s="1384"/>
      <c r="O43" s="1384"/>
      <c r="P43" s="1384">
        <f t="shared" si="36"/>
        <v>0</v>
      </c>
      <c r="Q43" s="1384"/>
    </row>
    <row r="44" spans="2:30" ht="32.25" customHeight="1">
      <c r="B44" s="2213"/>
      <c r="C44" s="2214"/>
      <c r="D44" s="2214"/>
      <c r="E44" s="2214"/>
      <c r="F44" s="2214"/>
      <c r="G44" s="2214"/>
      <c r="H44" s="2214"/>
      <c r="I44" s="2214"/>
      <c r="J44" s="2214"/>
      <c r="K44" s="2214"/>
      <c r="L44" s="2214"/>
      <c r="M44" s="2215"/>
      <c r="N44" s="1384"/>
      <c r="O44" s="1384"/>
      <c r="P44" s="1384"/>
      <c r="Q44" s="1384"/>
    </row>
    <row r="45" spans="2:30">
      <c r="B45" s="2206" t="s">
        <v>217</v>
      </c>
      <c r="C45" s="2206"/>
      <c r="D45" s="2206"/>
      <c r="E45" s="2206"/>
      <c r="F45" s="2206"/>
      <c r="G45" s="2206"/>
      <c r="H45" s="2206"/>
      <c r="I45" s="2206"/>
      <c r="J45" s="2206"/>
      <c r="K45" s="2206"/>
      <c r="L45" s="2206"/>
      <c r="M45" s="2206"/>
      <c r="N45" s="1384"/>
      <c r="O45" s="1384"/>
      <c r="P45" s="1384"/>
      <c r="Q45" s="1384"/>
    </row>
    <row r="46" spans="2:30">
      <c r="B46" s="2206"/>
      <c r="C46" s="2206"/>
      <c r="D46" s="2206"/>
      <c r="E46" s="2206"/>
      <c r="F46" s="2206"/>
      <c r="G46" s="2206"/>
      <c r="H46" s="2206"/>
      <c r="I46" s="2206"/>
      <c r="J46" s="2206"/>
      <c r="K46" s="2206"/>
      <c r="L46" s="2206"/>
      <c r="M46" s="2206"/>
      <c r="N46" s="1384"/>
      <c r="O46" s="1384"/>
      <c r="P46" s="1384"/>
      <c r="Q46" s="1384"/>
    </row>
  </sheetData>
  <mergeCells count="21">
    <mergeCell ref="V21:AF30"/>
    <mergeCell ref="B45:M46"/>
    <mergeCell ref="B37:M38"/>
    <mergeCell ref="B42:M44"/>
    <mergeCell ref="B39:M41"/>
    <mergeCell ref="B33:B34"/>
    <mergeCell ref="B36:M36"/>
    <mergeCell ref="N34:S34"/>
    <mergeCell ref="B32:G32"/>
    <mergeCell ref="B2:AF2"/>
    <mergeCell ref="B18:B19"/>
    <mergeCell ref="C18:H18"/>
    <mergeCell ref="I18:N18"/>
    <mergeCell ref="O18:T18"/>
    <mergeCell ref="V19:AF19"/>
    <mergeCell ref="B4:B5"/>
    <mergeCell ref="C4:H4"/>
    <mergeCell ref="AA4:AF4"/>
    <mergeCell ref="I4:N4"/>
    <mergeCell ref="O4:T4"/>
    <mergeCell ref="U4:Z4"/>
  </mergeCells>
  <phoneticPr fontId="6" type="noConversion"/>
  <hyperlinks>
    <hyperlink ref="N34:S34" r:id="rId1" location="начало!A1" display="Переход на начальную страницу"/>
  </hyperlinks>
  <printOptions horizontalCentered="1"/>
  <pageMargins left="0.78740157480314965" right="0.39370078740157483" top="0.78740157480314965" bottom="0.78740157480314965" header="0.31496062992125984" footer="0.31496062992125984"/>
  <pageSetup paperSize="9" scale="55"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5"/>
  <sheetViews>
    <sheetView view="pageBreakPreview" zoomScaleNormal="90" zoomScaleSheetLayoutView="100" workbookViewId="0">
      <selection activeCell="L33" sqref="L33"/>
    </sheetView>
  </sheetViews>
  <sheetFormatPr defaultRowHeight="15.75"/>
  <cols>
    <col min="2" max="2" width="42" style="15" customWidth="1"/>
    <col min="3" max="3" width="12.140625" customWidth="1"/>
    <col min="4" max="7" width="11.42578125" hidden="1" customWidth="1"/>
    <col min="8" max="14" width="12.140625" customWidth="1"/>
  </cols>
  <sheetData>
    <row r="1" spans="2:18" ht="18.75">
      <c r="N1" s="1292" t="s">
        <v>630</v>
      </c>
    </row>
    <row r="2" spans="2:18">
      <c r="B2" s="2225" t="s">
        <v>95</v>
      </c>
      <c r="C2" s="2225"/>
      <c r="D2" s="2225"/>
      <c r="E2" s="2225"/>
      <c r="F2" s="2225"/>
      <c r="G2" s="2225"/>
      <c r="H2" s="2225"/>
      <c r="I2" s="2225"/>
      <c r="J2" s="2225"/>
      <c r="K2" s="2225"/>
      <c r="L2" s="2225"/>
      <c r="M2" s="2225"/>
      <c r="N2" s="2225"/>
    </row>
    <row r="3" spans="2:18" ht="16.5" thickBot="1">
      <c r="B3" s="1303"/>
      <c r="C3" s="1303"/>
      <c r="D3" s="1303"/>
      <c r="E3" s="1303"/>
      <c r="F3" s="1303"/>
      <c r="G3" s="1303"/>
      <c r="H3" s="1303"/>
      <c r="I3" s="1303"/>
      <c r="J3" s="1303"/>
      <c r="K3" s="1303"/>
      <c r="L3" s="1303"/>
      <c r="M3" s="1303"/>
      <c r="N3" s="1304" t="s">
        <v>554</v>
      </c>
    </row>
    <row r="4" spans="2:18" ht="15.75" customHeight="1" thickTop="1">
      <c r="B4" s="2226" t="s">
        <v>84</v>
      </c>
      <c r="C4" s="2237">
        <v>2019</v>
      </c>
      <c r="D4" s="2232"/>
      <c r="E4" s="2235"/>
      <c r="F4" s="2235"/>
      <c r="G4" s="2236"/>
      <c r="H4" s="2229">
        <f>C4+1</f>
        <v>2020</v>
      </c>
      <c r="I4" s="2229">
        <f>H4+1</f>
        <v>2021</v>
      </c>
      <c r="J4" s="2229">
        <f>I4+1</f>
        <v>2022</v>
      </c>
      <c r="K4" s="2232">
        <f>J4+1</f>
        <v>2023</v>
      </c>
      <c r="L4" s="2232">
        <f t="shared" ref="L4:N4" si="0">K4+1</f>
        <v>2024</v>
      </c>
      <c r="M4" s="2232">
        <f t="shared" si="0"/>
        <v>2025</v>
      </c>
      <c r="N4" s="2240">
        <f t="shared" si="0"/>
        <v>2026</v>
      </c>
    </row>
    <row r="5" spans="2:18">
      <c r="B5" s="2227"/>
      <c r="C5" s="2238"/>
      <c r="D5" s="2230" t="s">
        <v>78</v>
      </c>
      <c r="E5" s="2230"/>
      <c r="F5" s="2230"/>
      <c r="G5" s="2230"/>
      <c r="H5" s="2230"/>
      <c r="I5" s="2230"/>
      <c r="J5" s="2230"/>
      <c r="K5" s="2233"/>
      <c r="L5" s="2233"/>
      <c r="M5" s="2233"/>
      <c r="N5" s="2241"/>
      <c r="R5" s="3"/>
    </row>
    <row r="6" spans="2:18" ht="16.5" thickBot="1">
      <c r="B6" s="2228"/>
      <c r="C6" s="2239"/>
      <c r="D6" s="1410" t="s">
        <v>79</v>
      </c>
      <c r="E6" s="1410" t="s">
        <v>80</v>
      </c>
      <c r="F6" s="1410" t="s">
        <v>81</v>
      </c>
      <c r="G6" s="1410" t="s">
        <v>82</v>
      </c>
      <c r="H6" s="2231"/>
      <c r="I6" s="2231"/>
      <c r="J6" s="2231"/>
      <c r="K6" s="2234"/>
      <c r="L6" s="2234"/>
      <c r="M6" s="2234"/>
      <c r="N6" s="2242"/>
    </row>
    <row r="7" spans="2:18">
      <c r="B7" s="1040" t="s">
        <v>97</v>
      </c>
      <c r="C7" s="1023"/>
      <c r="D7" s="1041" t="s">
        <v>86</v>
      </c>
      <c r="E7" s="1041" t="s">
        <v>86</v>
      </c>
      <c r="F7" s="1041" t="s">
        <v>86</v>
      </c>
      <c r="G7" s="1041" t="s">
        <v>86</v>
      </c>
      <c r="H7" s="1041"/>
      <c r="I7" s="1041"/>
      <c r="J7" s="1041"/>
      <c r="K7" s="1042"/>
      <c r="L7" s="1043"/>
      <c r="M7" s="1043"/>
      <c r="N7" s="1044"/>
    </row>
    <row r="8" spans="2:18">
      <c r="B8" s="994" t="s">
        <v>222</v>
      </c>
      <c r="C8" s="985"/>
      <c r="D8" s="985">
        <f t="shared" ref="D8:G8" si="1">C8</f>
        <v>0</v>
      </c>
      <c r="E8" s="985">
        <f t="shared" si="1"/>
        <v>0</v>
      </c>
      <c r="F8" s="985">
        <f t="shared" si="1"/>
        <v>0</v>
      </c>
      <c r="G8" s="985">
        <f t="shared" si="1"/>
        <v>0</v>
      </c>
      <c r="H8" s="985">
        <f>G8</f>
        <v>0</v>
      </c>
      <c r="I8" s="985">
        <f>H8</f>
        <v>0</v>
      </c>
      <c r="J8" s="985">
        <f>I8</f>
        <v>0</v>
      </c>
      <c r="K8" s="1006">
        <f>J8</f>
        <v>0</v>
      </c>
      <c r="L8" s="1006">
        <f t="shared" ref="L8:N8" si="2">K8</f>
        <v>0</v>
      </c>
      <c r="M8" s="1006">
        <f t="shared" si="2"/>
        <v>0</v>
      </c>
      <c r="N8" s="987">
        <f t="shared" si="2"/>
        <v>0</v>
      </c>
    </row>
    <row r="9" spans="2:18">
      <c r="B9" s="994" t="s">
        <v>209</v>
      </c>
      <c r="C9" s="984">
        <v>6</v>
      </c>
      <c r="D9" s="986">
        <v>6</v>
      </c>
      <c r="E9" s="986">
        <v>6</v>
      </c>
      <c r="F9" s="986">
        <v>6</v>
      </c>
      <c r="G9" s="986">
        <v>6</v>
      </c>
      <c r="H9" s="985">
        <f t="shared" ref="H9:J10" si="3">G9</f>
        <v>6</v>
      </c>
      <c r="I9" s="985">
        <f t="shared" si="3"/>
        <v>6</v>
      </c>
      <c r="J9" s="985">
        <f t="shared" si="3"/>
        <v>6</v>
      </c>
      <c r="K9" s="1006">
        <f>J9</f>
        <v>6</v>
      </c>
      <c r="L9" s="1006">
        <f t="shared" ref="L9:N9" si="4">K9</f>
        <v>6</v>
      </c>
      <c r="M9" s="1006">
        <f t="shared" si="4"/>
        <v>6</v>
      </c>
      <c r="N9" s="987">
        <f t="shared" si="4"/>
        <v>6</v>
      </c>
    </row>
    <row r="10" spans="2:18">
      <c r="B10" s="994" t="s">
        <v>98</v>
      </c>
      <c r="C10" s="984" t="s">
        <v>86</v>
      </c>
      <c r="D10" s="986">
        <v>0</v>
      </c>
      <c r="E10" s="986">
        <v>0</v>
      </c>
      <c r="F10" s="986">
        <v>0</v>
      </c>
      <c r="G10" s="986">
        <v>0</v>
      </c>
      <c r="H10" s="985">
        <f t="shared" si="3"/>
        <v>0</v>
      </c>
      <c r="I10" s="985">
        <f t="shared" si="3"/>
        <v>0</v>
      </c>
      <c r="J10" s="985">
        <f t="shared" si="3"/>
        <v>0</v>
      </c>
      <c r="K10" s="1006">
        <f>J10</f>
        <v>0</v>
      </c>
      <c r="L10" s="1006">
        <f t="shared" ref="L10:N10" si="5">K10</f>
        <v>0</v>
      </c>
      <c r="M10" s="1006">
        <f t="shared" si="5"/>
        <v>0</v>
      </c>
      <c r="N10" s="987">
        <f t="shared" si="5"/>
        <v>0</v>
      </c>
    </row>
    <row r="11" spans="2:18">
      <c r="B11" s="998" t="s">
        <v>481</v>
      </c>
      <c r="C11" s="1007" t="e">
        <f>C12+C13+C14+C15</f>
        <v>#REF!</v>
      </c>
      <c r="D11" s="1007" t="e">
        <f>SUM(D12:D15)</f>
        <v>#REF!</v>
      </c>
      <c r="E11" s="1007" t="e">
        <f t="shared" ref="E11:J11" si="6">SUM(E12:E15)</f>
        <v>#REF!</v>
      </c>
      <c r="F11" s="1007" t="e">
        <f t="shared" si="6"/>
        <v>#REF!</v>
      </c>
      <c r="G11" s="1007" t="e">
        <f t="shared" si="6"/>
        <v>#REF!</v>
      </c>
      <c r="H11" s="1007" t="e">
        <f t="shared" si="6"/>
        <v>#REF!</v>
      </c>
      <c r="I11" s="1007" t="e">
        <f t="shared" si="6"/>
        <v>#REF!</v>
      </c>
      <c r="J11" s="1007" t="e">
        <f t="shared" si="6"/>
        <v>#REF!</v>
      </c>
      <c r="K11" s="1008" t="e">
        <f>SUM(K12:K15)</f>
        <v>#REF!</v>
      </c>
      <c r="L11" s="1008" t="e">
        <f t="shared" ref="L11:N11" si="7">SUM(L12:L15)</f>
        <v>#REF!</v>
      </c>
      <c r="M11" s="1008" t="e">
        <f t="shared" si="7"/>
        <v>#REF!</v>
      </c>
      <c r="N11" s="1036" t="e">
        <f t="shared" si="7"/>
        <v>#REF!</v>
      </c>
    </row>
    <row r="12" spans="2:18">
      <c r="B12" s="994" t="s">
        <v>96</v>
      </c>
      <c r="C12" s="1009" t="e">
        <f>SUM(D12:G12)</f>
        <v>#REF!</v>
      </c>
      <c r="D12" s="1009" t="e">
        <f>IF(('24.Финрез'!E9)&lt;0,0,'24.Финрез'!E9*'23.Налоги'!D8/100)</f>
        <v>#REF!</v>
      </c>
      <c r="E12" s="1009" t="e">
        <f>IF(('24.Финрез'!F9)&lt;0,0,'24.Финрез'!F9*'23.Налоги'!E8/100)</f>
        <v>#REF!</v>
      </c>
      <c r="F12" s="1009" t="e">
        <f>IF(('24.Финрез'!G9)&lt;0,0,'24.Финрез'!G9*'23.Налоги'!F8/100)</f>
        <v>#REF!</v>
      </c>
      <c r="G12" s="1009" t="e">
        <f>IF(('24.Финрез'!H9)&lt;0,0,'24.Финрез'!H9*'23.Налоги'!G8/100)</f>
        <v>#REF!</v>
      </c>
      <c r="H12" s="1009" t="e">
        <f>IF(('24.Финрез'!I9)&lt;0,0,'24.Финрез'!I9*'23.Налоги'!H8/100)</f>
        <v>#REF!</v>
      </c>
      <c r="I12" s="1009" t="e">
        <f>IF(('24.Финрез'!J9)&lt;0,0,'24.Финрез'!J9*'23.Налоги'!I8/100)</f>
        <v>#REF!</v>
      </c>
      <c r="J12" s="1009" t="e">
        <f>IF(('24.Финрез'!K9)&lt;0,0,'24.Финрез'!K9*'23.Налоги'!J8/100)</f>
        <v>#REF!</v>
      </c>
      <c r="K12" s="1010" t="e">
        <f>IF(('24.Финрез'!L9)&lt;0,0,'24.Финрез'!L9*'23.Налоги'!K8/100)</f>
        <v>#REF!</v>
      </c>
      <c r="L12" s="1010" t="e">
        <f>IF(('24.Финрез'!M9)&lt;0,0,'24.Финрез'!M9*'23.Налоги'!L8/100)</f>
        <v>#REF!</v>
      </c>
      <c r="M12" s="1010" t="e">
        <f>IF(('24.Финрез'!N9)&lt;0,0,'24.Финрез'!N9*'23.Налоги'!M8/100)</f>
        <v>#REF!</v>
      </c>
      <c r="N12" s="1037" t="e">
        <f>IF(('24.Финрез'!O9)&lt;0,0,'24.Финрез'!O9*'23.Налоги'!N8/100)</f>
        <v>#REF!</v>
      </c>
    </row>
    <row r="13" spans="2:18">
      <c r="B13" s="994" t="s">
        <v>209</v>
      </c>
      <c r="C13" s="1009" t="e">
        <f>IF(('24.Финрез'!D7-'24.Финрез'!D8)&lt;0,0,('24.Финрез'!D7-'24.Финрез'!D8)*'23.Налоги'!C9/100)</f>
        <v>#REF!</v>
      </c>
      <c r="D13" s="1009" t="e">
        <f>IF(('24.Финрез'!E7-'24.Финрез'!E8)&lt;0,0,('24.Финрез'!E7-'24.Финрез'!E8)*'23.Налоги'!D9/100)</f>
        <v>#REF!</v>
      </c>
      <c r="E13" s="1009" t="e">
        <f>IF(('24.Финрез'!F7-'24.Финрез'!F8)&lt;0,0,('24.Финрез'!F7-'24.Финрез'!F8)*'23.Налоги'!E9/100)</f>
        <v>#REF!</v>
      </c>
      <c r="F13" s="1009" t="e">
        <f>IF(('24.Финрез'!G7-'24.Финрез'!G8)&lt;0,0,('24.Финрез'!G7-'24.Финрез'!G8)*'23.Налоги'!F9/100)</f>
        <v>#REF!</v>
      </c>
      <c r="G13" s="1009" t="e">
        <f>IF(('24.Финрез'!H7-'24.Финрез'!H8)&lt;0,0,('24.Финрез'!H7-'24.Финрез'!H8)*'23.Налоги'!G9/100)</f>
        <v>#REF!</v>
      </c>
      <c r="H13" s="1009" t="e">
        <f>IF(('24.Финрез'!I7-'24.Финрез'!I8)&lt;0,0,('24.Финрез'!I7-'24.Финрез'!I8)*'23.Налоги'!H9/100)</f>
        <v>#REF!</v>
      </c>
      <c r="I13" s="1009" t="e">
        <f>IF(('24.Финрез'!J7-'24.Финрез'!J8)&lt;0,0,('24.Финрез'!J7-'24.Финрез'!J8)*'23.Налоги'!I9/100)</f>
        <v>#REF!</v>
      </c>
      <c r="J13" s="1009" t="e">
        <f>IF(('24.Финрез'!K7-'24.Финрез'!K8)&lt;0,0,('24.Финрез'!K7-'24.Финрез'!K8)*'23.Налоги'!J9/100)</f>
        <v>#REF!</v>
      </c>
      <c r="K13" s="1010" t="e">
        <f>IF(('24.Финрез'!L7-'24.Финрез'!L8)&lt;0,0,('24.Финрез'!L7-'24.Финрез'!L8)*'23.Налоги'!K9/100)</f>
        <v>#REF!</v>
      </c>
      <c r="L13" s="1010" t="e">
        <f>IF(('24.Финрез'!M7-'24.Финрез'!M8)&lt;0,0,('24.Финрез'!M7-'24.Финрез'!M8)*'23.Налоги'!L9/100)</f>
        <v>#REF!</v>
      </c>
      <c r="M13" s="1010" t="e">
        <f>IF(('24.Финрез'!N7-'24.Финрез'!N8)&lt;0,0,('24.Финрез'!N7-'24.Финрез'!N8)*'23.Налоги'!M9/100)</f>
        <v>#REF!</v>
      </c>
      <c r="N13" s="1037" t="e">
        <f>IF(('24.Финрез'!O7-'24.Финрез'!O8)&lt;0,0,('24.Финрез'!O7-'24.Финрез'!O8)*'23.Налоги'!N9/100)</f>
        <v>#REF!</v>
      </c>
    </row>
    <row r="14" spans="2:18" ht="15.75" customHeight="1">
      <c r="B14" s="994" t="s">
        <v>98</v>
      </c>
      <c r="C14" s="1003" t="e">
        <f>SUM(D14:G14)</f>
        <v>#REF!</v>
      </c>
      <c r="D14" s="1003" t="e">
        <f>('24.Финрез'!E7-'24.Финрез'!E8)*'23.Налоги'!D10/100</f>
        <v>#REF!</v>
      </c>
      <c r="E14" s="1003" t="e">
        <f>('24.Финрез'!F7-'24.Финрез'!F8)*'23.Налоги'!E10/100</f>
        <v>#REF!</v>
      </c>
      <c r="F14" s="1003" t="e">
        <f>('24.Финрез'!G7-'24.Финрез'!G8)*'23.Налоги'!F10/100</f>
        <v>#REF!</v>
      </c>
      <c r="G14" s="1003" t="e">
        <f>('24.Финрез'!H7-'24.Финрез'!H8)*'23.Налоги'!G10/100</f>
        <v>#REF!</v>
      </c>
      <c r="H14" s="1003" t="e">
        <f>('24.Финрез'!I7-'24.Финрез'!I8)*'23.Налоги'!H10/100</f>
        <v>#REF!</v>
      </c>
      <c r="I14" s="1003" t="e">
        <f>('24.Финрез'!J7-'24.Финрез'!J8)*'23.Налоги'!I10/100</f>
        <v>#REF!</v>
      </c>
      <c r="J14" s="1003" t="e">
        <f>('24.Финрез'!K7-'24.Финрез'!K8)*'23.Налоги'!J10/100</f>
        <v>#REF!</v>
      </c>
      <c r="K14" s="1011" t="e">
        <f>('24.Финрез'!L7-'24.Финрез'!L8)*'23.Налоги'!K10/100</f>
        <v>#REF!</v>
      </c>
      <c r="L14" s="865"/>
      <c r="M14" s="865"/>
      <c r="N14" s="983"/>
    </row>
    <row r="15" spans="2:18" ht="21.75" customHeight="1" thickBot="1">
      <c r="B15" s="995"/>
      <c r="C15" s="996"/>
      <c r="D15" s="510"/>
      <c r="E15" s="510"/>
      <c r="F15" s="510"/>
      <c r="G15" s="510"/>
      <c r="H15" s="997"/>
      <c r="I15" s="997"/>
      <c r="J15" s="997"/>
      <c r="K15" s="999"/>
      <c r="L15" s="1038"/>
      <c r="M15" s="1038"/>
      <c r="N15" s="1039"/>
    </row>
    <row r="16" spans="2:18" ht="20.25" customHeight="1" thickTop="1">
      <c r="B16" s="17"/>
      <c r="C16" s="18"/>
      <c r="D16" s="18"/>
      <c r="E16" s="18"/>
      <c r="F16" s="18"/>
      <c r="G16" s="18"/>
      <c r="H16" s="17"/>
      <c r="I16" s="17"/>
      <c r="J16" s="17"/>
      <c r="K16" s="17"/>
    </row>
    <row r="17" spans="2:13" ht="20.25" customHeight="1">
      <c r="B17" s="2244" t="s">
        <v>157</v>
      </c>
      <c r="C17" s="2245"/>
      <c r="D17" s="2245"/>
      <c r="E17" s="2245"/>
      <c r="F17" s="2245"/>
      <c r="G17" s="2245"/>
      <c r="H17" s="2245"/>
      <c r="I17" s="2245"/>
      <c r="J17" s="2245"/>
      <c r="K17" s="2246"/>
      <c r="L17" s="53"/>
      <c r="M17" s="53"/>
    </row>
    <row r="18" spans="2:13" ht="20.25" customHeight="1">
      <c r="B18" s="2108" t="s">
        <v>193</v>
      </c>
      <c r="C18" s="2108"/>
      <c r="D18" s="2108"/>
      <c r="E18" s="2108"/>
      <c r="F18" s="2108"/>
      <c r="G18" s="2108"/>
      <c r="H18" s="2108"/>
      <c r="I18" s="2108"/>
      <c r="J18" s="2108"/>
      <c r="K18" s="2108"/>
      <c r="L18" s="17"/>
      <c r="M18" s="17"/>
    </row>
    <row r="19" spans="2:13" ht="20.25" customHeight="1">
      <c r="B19" s="2108"/>
      <c r="C19" s="2108"/>
      <c r="D19" s="2108"/>
      <c r="E19" s="2108"/>
      <c r="F19" s="2108"/>
      <c r="G19" s="2108"/>
      <c r="H19" s="2108"/>
      <c r="I19" s="2108"/>
      <c r="J19" s="2108"/>
      <c r="K19" s="2108"/>
      <c r="L19" s="17"/>
      <c r="M19" s="17"/>
    </row>
    <row r="20" spans="2:13" ht="20.25" customHeight="1">
      <c r="B20" s="2108"/>
      <c r="C20" s="2108"/>
      <c r="D20" s="2108"/>
      <c r="E20" s="2108"/>
      <c r="F20" s="2108"/>
      <c r="G20" s="2108"/>
      <c r="H20" s="2108"/>
      <c r="I20" s="2108"/>
      <c r="J20" s="2108"/>
      <c r="K20" s="2108"/>
      <c r="L20" s="17"/>
      <c r="M20" s="17"/>
    </row>
    <row r="21" spans="2:13" ht="20.25" customHeight="1">
      <c r="B21" s="2108"/>
      <c r="C21" s="2108"/>
      <c r="D21" s="2108"/>
      <c r="E21" s="2108"/>
      <c r="F21" s="2108"/>
      <c r="G21" s="2108"/>
      <c r="H21" s="2108"/>
      <c r="I21" s="2108"/>
      <c r="J21" s="2108"/>
      <c r="K21" s="2108"/>
      <c r="L21" s="17"/>
      <c r="M21" s="17"/>
    </row>
    <row r="22" spans="2:13" ht="20.25" customHeight="1">
      <c r="B22" s="2108" t="s">
        <v>3</v>
      </c>
      <c r="C22" s="2243"/>
      <c r="D22" s="2243"/>
      <c r="E22" s="2243"/>
      <c r="F22" s="2243"/>
      <c r="G22" s="2243"/>
      <c r="H22" s="2243"/>
      <c r="I22" s="2243"/>
      <c r="J22" s="2243"/>
      <c r="K22" s="2243"/>
      <c r="L22" s="17"/>
      <c r="M22" s="17"/>
    </row>
    <row r="23" spans="2:13" ht="15.75" customHeight="1">
      <c r="B23" s="2243"/>
      <c r="C23" s="2243"/>
      <c r="D23" s="2243"/>
      <c r="E23" s="2243"/>
      <c r="F23" s="2243"/>
      <c r="G23" s="2243"/>
      <c r="H23" s="2243"/>
      <c r="I23" s="2243"/>
      <c r="J23" s="2243"/>
      <c r="K23" s="2243"/>
      <c r="L23" s="53"/>
      <c r="M23" s="53"/>
    </row>
    <row r="24" spans="2:13" ht="15.75" customHeight="1">
      <c r="B24" s="51"/>
      <c r="C24" s="51"/>
      <c r="D24" s="51"/>
      <c r="E24" s="51"/>
      <c r="F24" s="51"/>
      <c r="G24" s="51"/>
      <c r="H24" s="51"/>
      <c r="I24" s="51"/>
      <c r="J24" s="51"/>
      <c r="K24" s="51"/>
      <c r="L24" s="53"/>
      <c r="M24" s="53"/>
    </row>
    <row r="25" spans="2:13" ht="20.25">
      <c r="B25" s="2109" t="s">
        <v>77</v>
      </c>
      <c r="C25" s="2109"/>
      <c r="D25" s="2109"/>
      <c r="E25" s="2109"/>
      <c r="F25" s="2109"/>
      <c r="G25" s="2109"/>
      <c r="H25" s="2109"/>
      <c r="I25" s="2109"/>
      <c r="J25" s="2109"/>
      <c r="K25" s="2109"/>
    </row>
  </sheetData>
  <mergeCells count="16">
    <mergeCell ref="B2:N2"/>
    <mergeCell ref="B25:K25"/>
    <mergeCell ref="B4:B6"/>
    <mergeCell ref="H4:H6"/>
    <mergeCell ref="I4:I6"/>
    <mergeCell ref="J4:J6"/>
    <mergeCell ref="K4:K6"/>
    <mergeCell ref="D5:G5"/>
    <mergeCell ref="D4:G4"/>
    <mergeCell ref="C4:C6"/>
    <mergeCell ref="N4:N6"/>
    <mergeCell ref="M4:M6"/>
    <mergeCell ref="L4:L6"/>
    <mergeCell ref="B22:K23"/>
    <mergeCell ref="B17:K17"/>
    <mergeCell ref="B18:K21"/>
  </mergeCells>
  <phoneticPr fontId="6" type="noConversion"/>
  <conditionalFormatting sqref="C7:N15">
    <cfRule type="cellIs" dxfId="9" priority="1" operator="equal">
      <formula>0</formula>
    </cfRule>
  </conditionalFormatting>
  <hyperlinks>
    <hyperlink ref="B25:K25" location="начало!A1" display="Переход на начальную страницу"/>
  </hyperlinks>
  <printOptions horizontalCentered="1"/>
  <pageMargins left="0.78740157480314965" right="0.39370078740157483" top="0.78740157480314965" bottom="0.78740157480314965" header="0.31496062992125984" footer="0.31496062992125984"/>
  <pageSetup paperSize="9" scale="9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8"/>
  <sheetViews>
    <sheetView view="pageBreakPreview" zoomScale="90" zoomScaleNormal="100" zoomScaleSheetLayoutView="90" workbookViewId="0">
      <selection activeCell="Q34" sqref="Q34"/>
    </sheetView>
  </sheetViews>
  <sheetFormatPr defaultRowHeight="15.75"/>
  <cols>
    <col min="2" max="2" width="8.42578125" customWidth="1"/>
    <col min="3" max="3" width="47" style="15" customWidth="1"/>
    <col min="4" max="4" width="11" customWidth="1"/>
    <col min="5" max="5" width="10.5703125" hidden="1" customWidth="1"/>
    <col min="6" max="6" width="13.28515625" hidden="1" customWidth="1"/>
    <col min="7" max="7" width="12.42578125" hidden="1" customWidth="1"/>
    <col min="8" max="8" width="13.85546875" hidden="1" customWidth="1"/>
    <col min="9" max="15" width="11" customWidth="1"/>
  </cols>
  <sheetData>
    <row r="1" spans="2:15" ht="18.75">
      <c r="O1" s="1292" t="s">
        <v>631</v>
      </c>
    </row>
    <row r="2" spans="2:15" ht="17.25" customHeight="1">
      <c r="B2" s="2260" t="s">
        <v>104</v>
      </c>
      <c r="C2" s="2260"/>
      <c r="D2" s="2260"/>
      <c r="E2" s="2260"/>
      <c r="F2" s="2260"/>
      <c r="G2" s="2260"/>
      <c r="H2" s="2260"/>
      <c r="I2" s="2260"/>
      <c r="J2" s="2260"/>
      <c r="K2" s="2260"/>
      <c r="L2" s="2260"/>
      <c r="M2" s="2260"/>
      <c r="N2" s="2260"/>
      <c r="O2" s="1305" t="s">
        <v>602</v>
      </c>
    </row>
    <row r="3" spans="2:15" ht="16.5" thickBot="1">
      <c r="B3" s="2155"/>
      <c r="C3" s="2155"/>
      <c r="D3" s="2155"/>
      <c r="E3" s="2155"/>
      <c r="F3" s="2155"/>
      <c r="G3" s="2155"/>
      <c r="H3" s="2155"/>
      <c r="I3" s="2155"/>
      <c r="J3" s="2155"/>
      <c r="K3" s="2155"/>
      <c r="O3" s="988" t="s">
        <v>223</v>
      </c>
    </row>
    <row r="4" spans="2:15" ht="16.5" thickTop="1">
      <c r="B4" s="2261" t="s">
        <v>93</v>
      </c>
      <c r="C4" s="2264" t="s">
        <v>84</v>
      </c>
      <c r="D4" s="2250">
        <v>2019</v>
      </c>
      <c r="E4" s="2266"/>
      <c r="F4" s="2267"/>
      <c r="G4" s="2267"/>
      <c r="H4" s="2268"/>
      <c r="I4" s="2250">
        <f>D4+1</f>
        <v>2020</v>
      </c>
      <c r="J4" s="2250">
        <f>I4+1</f>
        <v>2021</v>
      </c>
      <c r="K4" s="2250">
        <f>J4+1</f>
        <v>2022</v>
      </c>
      <c r="L4" s="2257">
        <f>K4+1</f>
        <v>2023</v>
      </c>
      <c r="M4" s="2250">
        <f>+L4+1</f>
        <v>2024</v>
      </c>
      <c r="N4" s="2250">
        <f t="shared" ref="N4:O4" si="0">+M4+1</f>
        <v>2025</v>
      </c>
      <c r="O4" s="2247">
        <f t="shared" si="0"/>
        <v>2026</v>
      </c>
    </row>
    <row r="5" spans="2:15">
      <c r="B5" s="2262"/>
      <c r="C5" s="2256"/>
      <c r="D5" s="2251"/>
      <c r="E5" s="2256" t="s">
        <v>78</v>
      </c>
      <c r="F5" s="2256"/>
      <c r="G5" s="2256"/>
      <c r="H5" s="2256"/>
      <c r="I5" s="2251"/>
      <c r="J5" s="2251"/>
      <c r="K5" s="2251"/>
      <c r="L5" s="2258"/>
      <c r="M5" s="2251"/>
      <c r="N5" s="2251"/>
      <c r="O5" s="2248"/>
    </row>
    <row r="6" spans="2:15" ht="16.5" thickBot="1">
      <c r="B6" s="2263"/>
      <c r="C6" s="2265"/>
      <c r="D6" s="2252"/>
      <c r="E6" s="10" t="s">
        <v>79</v>
      </c>
      <c r="F6" s="10" t="s">
        <v>80</v>
      </c>
      <c r="G6" s="10" t="s">
        <v>81</v>
      </c>
      <c r="H6" s="10" t="s">
        <v>82</v>
      </c>
      <c r="I6" s="2252"/>
      <c r="J6" s="2252"/>
      <c r="K6" s="2252"/>
      <c r="L6" s="2259"/>
      <c r="M6" s="2252"/>
      <c r="N6" s="2252"/>
      <c r="O6" s="2249"/>
    </row>
    <row r="7" spans="2:15">
      <c r="B7" s="1021">
        <v>1</v>
      </c>
      <c r="C7" s="1022" t="s">
        <v>604</v>
      </c>
      <c r="D7" s="1023" t="e">
        <f>SUM(E7:H7)</f>
        <v>#REF!</v>
      </c>
      <c r="E7" s="1023" t="e">
        <f>ПрСбытПрП!#REF!</f>
        <v>#REF!</v>
      </c>
      <c r="F7" s="1023" t="e">
        <f>ПрСбытПрП!#REF!</f>
        <v>#REF!</v>
      </c>
      <c r="G7" s="1023" t="e">
        <f>ПрСбытПрП!#REF!</f>
        <v>#REF!</v>
      </c>
      <c r="H7" s="1023" t="e">
        <f>ПрСбытПрП!#REF!</f>
        <v>#REF!</v>
      </c>
      <c r="I7" s="1024">
        <f>ПрСбытПрП!D13</f>
        <v>0</v>
      </c>
      <c r="J7" s="1024">
        <f>ПрСбытПрП!E13</f>
        <v>0</v>
      </c>
      <c r="K7" s="1024">
        <f>ПрСбытПрП!F13</f>
        <v>0</v>
      </c>
      <c r="L7" s="1024">
        <f>ПрСбытПрП!G13</f>
        <v>0</v>
      </c>
      <c r="M7" s="1024">
        <f>ПрСбытПрП!H13</f>
        <v>0</v>
      </c>
      <c r="N7" s="1024" t="e">
        <f>ПрСбытПрП!#REF!</f>
        <v>#REF!</v>
      </c>
      <c r="O7" s="1025" t="e">
        <f>ПрСбытПрП!#REF!</f>
        <v>#REF!</v>
      </c>
    </row>
    <row r="8" spans="2:15">
      <c r="B8" s="1014">
        <v>2</v>
      </c>
      <c r="C8" s="1001" t="s">
        <v>605</v>
      </c>
      <c r="D8" s="984" t="e">
        <f>SUM(E8:H8)</f>
        <v>#REF!</v>
      </c>
      <c r="E8" s="984" t="e">
        <f>ТРП!#REF!</f>
        <v>#REF!</v>
      </c>
      <c r="F8" s="984" t="e">
        <f>ТРП!#REF!</f>
        <v>#REF!</v>
      </c>
      <c r="G8" s="984" t="e">
        <f>ТРП!#REF!</f>
        <v>#REF!</v>
      </c>
      <c r="H8" s="984" t="e">
        <f>ТРП!#REF!</f>
        <v>#REF!</v>
      </c>
      <c r="I8" s="1003" t="e">
        <f>ТРП!#REF!</f>
        <v>#REF!</v>
      </c>
      <c r="J8" s="1003" t="e">
        <f>ТРП!#REF!</f>
        <v>#REF!</v>
      </c>
      <c r="K8" s="1003" t="e">
        <f>ТРП!#REF!</f>
        <v>#REF!</v>
      </c>
      <c r="L8" s="1003" t="e">
        <f>ТРП!#REF!</f>
        <v>#REF!</v>
      </c>
      <c r="M8" s="1003" t="e">
        <f>ТРП!#REF!</f>
        <v>#REF!</v>
      </c>
      <c r="N8" s="1003" t="e">
        <f>ТРП!#REF!</f>
        <v>#REF!</v>
      </c>
      <c r="O8" s="1015" t="e">
        <f>ТРП!#REF!</f>
        <v>#REF!</v>
      </c>
    </row>
    <row r="9" spans="2:15">
      <c r="B9" s="1014">
        <v>3</v>
      </c>
      <c r="C9" s="37" t="s">
        <v>94</v>
      </c>
      <c r="D9" s="984" t="e">
        <f>+H9</f>
        <v>#REF!</v>
      </c>
      <c r="E9" s="984" t="e">
        <f>E7-E8</f>
        <v>#REF!</v>
      </c>
      <c r="F9" s="984" t="e">
        <f>F7-F8+E9</f>
        <v>#REF!</v>
      </c>
      <c r="G9" s="984" t="e">
        <f>G7-G8+F9</f>
        <v>#REF!</v>
      </c>
      <c r="H9" s="984" t="e">
        <f>H7-H8+G9</f>
        <v>#REF!</v>
      </c>
      <c r="I9" s="1003" t="e">
        <f t="shared" ref="I9:O9" si="1">I7-I8</f>
        <v>#REF!</v>
      </c>
      <c r="J9" s="1003" t="e">
        <f t="shared" si="1"/>
        <v>#REF!</v>
      </c>
      <c r="K9" s="1003" t="e">
        <f t="shared" si="1"/>
        <v>#REF!</v>
      </c>
      <c r="L9" s="1003" t="e">
        <f t="shared" si="1"/>
        <v>#REF!</v>
      </c>
      <c r="M9" s="1003" t="e">
        <f t="shared" si="1"/>
        <v>#REF!</v>
      </c>
      <c r="N9" s="1003" t="e">
        <f t="shared" si="1"/>
        <v>#REF!</v>
      </c>
      <c r="O9" s="1015" t="e">
        <f t="shared" si="1"/>
        <v>#REF!</v>
      </c>
    </row>
    <row r="10" spans="2:15" s="5" customFormat="1" ht="16.5" customHeight="1">
      <c r="B10" s="1014">
        <v>4</v>
      </c>
      <c r="C10" s="1000" t="s">
        <v>606</v>
      </c>
      <c r="D10" s="984" t="e">
        <f>+'23.Налоги'!C11</f>
        <v>#REF!</v>
      </c>
      <c r="E10" s="984" t="e">
        <f>'23.Налоги'!D11</f>
        <v>#REF!</v>
      </c>
      <c r="F10" s="984" t="e">
        <f>'23.Налоги'!E11</f>
        <v>#REF!</v>
      </c>
      <c r="G10" s="984" t="e">
        <f>'23.Налоги'!F11</f>
        <v>#REF!</v>
      </c>
      <c r="H10" s="984" t="e">
        <f>'23.Налоги'!G11</f>
        <v>#REF!</v>
      </c>
      <c r="I10" s="1003" t="e">
        <f>'23.Налоги'!H11</f>
        <v>#REF!</v>
      </c>
      <c r="J10" s="1003" t="e">
        <f>'23.Налоги'!I11</f>
        <v>#REF!</v>
      </c>
      <c r="K10" s="1003" t="e">
        <f>'23.Налоги'!J11</f>
        <v>#REF!</v>
      </c>
      <c r="L10" s="1003" t="e">
        <f>'23.Налоги'!K11</f>
        <v>#REF!</v>
      </c>
      <c r="M10" s="1003" t="e">
        <f>'23.Налоги'!L11</f>
        <v>#REF!</v>
      </c>
      <c r="N10" s="1003" t="e">
        <f>'23.Налоги'!M11</f>
        <v>#REF!</v>
      </c>
      <c r="O10" s="1015" t="e">
        <f>'23.Налоги'!N11</f>
        <v>#REF!</v>
      </c>
    </row>
    <row r="11" spans="2:15" s="5" customFormat="1" ht="31.5">
      <c r="B11" s="1028">
        <v>5</v>
      </c>
      <c r="C11" s="1002" t="s">
        <v>23</v>
      </c>
      <c r="D11" s="1012" t="e">
        <f>+D9-D10</f>
        <v>#REF!</v>
      </c>
      <c r="E11" s="1012" t="e">
        <f t="shared" ref="E11:O11" si="2">E9-E10</f>
        <v>#REF!</v>
      </c>
      <c r="F11" s="1012" t="e">
        <f t="shared" si="2"/>
        <v>#REF!</v>
      </c>
      <c r="G11" s="1012" t="e">
        <f t="shared" si="2"/>
        <v>#REF!</v>
      </c>
      <c r="H11" s="1012" t="e">
        <f t="shared" si="2"/>
        <v>#REF!</v>
      </c>
      <c r="I11" s="1012" t="e">
        <f t="shared" si="2"/>
        <v>#REF!</v>
      </c>
      <c r="J11" s="1012" t="e">
        <f t="shared" si="2"/>
        <v>#REF!</v>
      </c>
      <c r="K11" s="1012" t="e">
        <f t="shared" si="2"/>
        <v>#REF!</v>
      </c>
      <c r="L11" s="1012" t="e">
        <f t="shared" si="2"/>
        <v>#REF!</v>
      </c>
      <c r="M11" s="1012" t="e">
        <f t="shared" si="2"/>
        <v>#REF!</v>
      </c>
      <c r="N11" s="1012" t="e">
        <f t="shared" si="2"/>
        <v>#REF!</v>
      </c>
      <c r="O11" s="1016" t="e">
        <f t="shared" si="2"/>
        <v>#REF!</v>
      </c>
    </row>
    <row r="12" spans="2:15" s="5" customFormat="1" ht="18" customHeight="1">
      <c r="B12" s="1029">
        <v>6</v>
      </c>
      <c r="C12" s="906" t="s">
        <v>22</v>
      </c>
      <c r="D12" s="986">
        <v>0</v>
      </c>
      <c r="E12" s="985">
        <f t="shared" ref="E12:L12" si="3">D12</f>
        <v>0</v>
      </c>
      <c r="F12" s="985">
        <f t="shared" si="3"/>
        <v>0</v>
      </c>
      <c r="G12" s="985">
        <f t="shared" si="3"/>
        <v>0</v>
      </c>
      <c r="H12" s="985">
        <f t="shared" si="3"/>
        <v>0</v>
      </c>
      <c r="I12" s="985">
        <f t="shared" si="3"/>
        <v>0</v>
      </c>
      <c r="J12" s="985">
        <f t="shared" si="3"/>
        <v>0</v>
      </c>
      <c r="K12" s="985">
        <f t="shared" si="3"/>
        <v>0</v>
      </c>
      <c r="L12" s="985">
        <f t="shared" si="3"/>
        <v>0</v>
      </c>
      <c r="M12" s="985">
        <f t="shared" ref="M12" si="4">L12</f>
        <v>0</v>
      </c>
      <c r="N12" s="985">
        <f t="shared" ref="N12" si="5">M12</f>
        <v>0</v>
      </c>
      <c r="O12" s="987">
        <f t="shared" ref="O12" si="6">N12</f>
        <v>0</v>
      </c>
    </row>
    <row r="13" spans="2:15" s="5" customFormat="1" ht="31.5">
      <c r="B13" s="1029">
        <v>7</v>
      </c>
      <c r="C13" s="906" t="s">
        <v>24</v>
      </c>
      <c r="D13" s="1013" t="e">
        <f>SUM(E13:H13)</f>
        <v>#REF!</v>
      </c>
      <c r="E13" s="1013" t="e">
        <f t="shared" ref="E13:O13" si="7">E11*E12/100</f>
        <v>#REF!</v>
      </c>
      <c r="F13" s="1013" t="e">
        <f t="shared" si="7"/>
        <v>#REF!</v>
      </c>
      <c r="G13" s="1013" t="e">
        <f t="shared" si="7"/>
        <v>#REF!</v>
      </c>
      <c r="H13" s="1013" t="e">
        <f t="shared" si="7"/>
        <v>#REF!</v>
      </c>
      <c r="I13" s="1013" t="e">
        <f t="shared" si="7"/>
        <v>#REF!</v>
      </c>
      <c r="J13" s="1013" t="e">
        <f t="shared" si="7"/>
        <v>#REF!</v>
      </c>
      <c r="K13" s="1013" t="e">
        <f t="shared" si="7"/>
        <v>#REF!</v>
      </c>
      <c r="L13" s="1013" t="e">
        <f t="shared" si="7"/>
        <v>#REF!</v>
      </c>
      <c r="M13" s="1013" t="e">
        <f t="shared" si="7"/>
        <v>#REF!</v>
      </c>
      <c r="N13" s="1013" t="e">
        <f t="shared" si="7"/>
        <v>#REF!</v>
      </c>
      <c r="O13" s="1017" t="e">
        <f t="shared" si="7"/>
        <v>#REF!</v>
      </c>
    </row>
    <row r="14" spans="2:15" s="5" customFormat="1">
      <c r="B14" s="1018">
        <v>8</v>
      </c>
      <c r="C14" s="1004" t="s">
        <v>25</v>
      </c>
      <c r="D14" s="1005" t="e">
        <f t="shared" ref="D14:O14" si="8">D11-D13</f>
        <v>#REF!</v>
      </c>
      <c r="E14" s="1005" t="e">
        <f t="shared" si="8"/>
        <v>#REF!</v>
      </c>
      <c r="F14" s="1005" t="e">
        <f t="shared" si="8"/>
        <v>#REF!</v>
      </c>
      <c r="G14" s="1005" t="e">
        <f t="shared" si="8"/>
        <v>#REF!</v>
      </c>
      <c r="H14" s="1005" t="e">
        <f t="shared" si="8"/>
        <v>#REF!</v>
      </c>
      <c r="I14" s="1005" t="e">
        <f t="shared" si="8"/>
        <v>#REF!</v>
      </c>
      <c r="J14" s="1005" t="e">
        <f t="shared" si="8"/>
        <v>#REF!</v>
      </c>
      <c r="K14" s="1005" t="e">
        <f t="shared" si="8"/>
        <v>#REF!</v>
      </c>
      <c r="L14" s="1005" t="e">
        <f t="shared" si="8"/>
        <v>#REF!</v>
      </c>
      <c r="M14" s="1005" t="e">
        <f t="shared" si="8"/>
        <v>#REF!</v>
      </c>
      <c r="N14" s="1005" t="e">
        <f t="shared" si="8"/>
        <v>#REF!</v>
      </c>
      <c r="O14" s="1019" t="e">
        <f t="shared" si="8"/>
        <v>#REF!</v>
      </c>
    </row>
    <row r="15" spans="2:15" ht="33" customHeight="1">
      <c r="B15" s="1026">
        <v>9</v>
      </c>
      <c r="C15" s="906" t="s">
        <v>20</v>
      </c>
      <c r="D15" s="1030" t="e">
        <f>D14/D8*100</f>
        <v>#REF!</v>
      </c>
      <c r="E15" s="1030">
        <v>0</v>
      </c>
      <c r="F15" s="1030" t="e">
        <f t="shared" ref="F15:O15" si="9">F14/F8*100</f>
        <v>#REF!</v>
      </c>
      <c r="G15" s="1030" t="e">
        <f t="shared" si="9"/>
        <v>#REF!</v>
      </c>
      <c r="H15" s="1030" t="e">
        <f t="shared" si="9"/>
        <v>#REF!</v>
      </c>
      <c r="I15" s="1031" t="e">
        <f t="shared" si="9"/>
        <v>#REF!</v>
      </c>
      <c r="J15" s="1031" t="e">
        <f t="shared" si="9"/>
        <v>#REF!</v>
      </c>
      <c r="K15" s="1031" t="e">
        <f t="shared" si="9"/>
        <v>#REF!</v>
      </c>
      <c r="L15" s="1031" t="e">
        <f t="shared" si="9"/>
        <v>#REF!</v>
      </c>
      <c r="M15" s="1031" t="e">
        <f t="shared" si="9"/>
        <v>#REF!</v>
      </c>
      <c r="N15" s="1031" t="e">
        <f t="shared" si="9"/>
        <v>#REF!</v>
      </c>
      <c r="O15" s="1032" t="e">
        <f t="shared" si="9"/>
        <v>#REF!</v>
      </c>
    </row>
    <row r="16" spans="2:15" ht="33" customHeight="1" thickBot="1">
      <c r="B16" s="1027">
        <v>10</v>
      </c>
      <c r="C16" s="1020" t="s">
        <v>21</v>
      </c>
      <c r="D16" s="1033" t="e">
        <f>D14/D7*100</f>
        <v>#REF!</v>
      </c>
      <c r="E16" s="1033">
        <v>0</v>
      </c>
      <c r="F16" s="1033" t="e">
        <f>F14/F7*100</f>
        <v>#REF!</v>
      </c>
      <c r="G16" s="1033" t="e">
        <f t="shared" ref="G16:I16" si="10">G14/G7*100</f>
        <v>#REF!</v>
      </c>
      <c r="H16" s="1033" t="e">
        <f t="shared" si="10"/>
        <v>#REF!</v>
      </c>
      <c r="I16" s="1034" t="e">
        <f t="shared" si="10"/>
        <v>#REF!</v>
      </c>
      <c r="J16" s="1034" t="e">
        <f>J11/J7*100</f>
        <v>#REF!</v>
      </c>
      <c r="K16" s="1034" t="e">
        <f>K11/K7*100</f>
        <v>#REF!</v>
      </c>
      <c r="L16" s="1034" t="e">
        <f>L11/L7*100</f>
        <v>#REF!</v>
      </c>
      <c r="M16" s="1034" t="e">
        <f t="shared" ref="M16:O16" si="11">M11/M7*100</f>
        <v>#REF!</v>
      </c>
      <c r="N16" s="1034" t="e">
        <f t="shared" si="11"/>
        <v>#REF!</v>
      </c>
      <c r="O16" s="1035" t="e">
        <f t="shared" si="11"/>
        <v>#REF!</v>
      </c>
    </row>
    <row r="17" spans="2:13" ht="16.5" thickTop="1"/>
    <row r="18" spans="2:13" s="1" customFormat="1" ht="15.75" customHeight="1">
      <c r="B18" s="2253" t="s">
        <v>56</v>
      </c>
      <c r="C18" s="2254"/>
      <c r="D18" s="2254"/>
      <c r="E18" s="2254"/>
      <c r="F18" s="2254"/>
      <c r="G18" s="2254"/>
      <c r="H18" s="2254"/>
      <c r="I18" s="2254"/>
      <c r="J18" s="2254"/>
      <c r="K18" s="2254"/>
      <c r="L18" s="2255"/>
    </row>
    <row r="19" spans="2:13" s="1" customFormat="1" ht="15.75" customHeight="1">
      <c r="B19" s="2175" t="s">
        <v>4</v>
      </c>
      <c r="C19" s="2176"/>
      <c r="D19" s="2176"/>
      <c r="E19" s="2176"/>
      <c r="F19" s="2176"/>
      <c r="G19" s="2176"/>
      <c r="H19" s="2176"/>
      <c r="I19" s="2176"/>
      <c r="J19" s="2176"/>
      <c r="K19" s="2176"/>
      <c r="L19" s="2177"/>
    </row>
    <row r="20" spans="2:13" s="1" customFormat="1" ht="15.75" customHeight="1">
      <c r="B20" s="2178"/>
      <c r="C20" s="2179"/>
      <c r="D20" s="2179"/>
      <c r="E20" s="2179"/>
      <c r="F20" s="2179"/>
      <c r="G20" s="2179"/>
      <c r="H20" s="2179"/>
      <c r="I20" s="2179"/>
      <c r="J20" s="2179"/>
      <c r="K20" s="2179"/>
      <c r="L20" s="2180"/>
    </row>
    <row r="21" spans="2:13" s="1" customFormat="1" ht="15.75" customHeight="1">
      <c r="B21" s="2178"/>
      <c r="C21" s="2179"/>
      <c r="D21" s="2179"/>
      <c r="E21" s="2179"/>
      <c r="F21" s="2179"/>
      <c r="G21" s="2179"/>
      <c r="H21" s="2179"/>
      <c r="I21" s="2179"/>
      <c r="J21" s="2179"/>
      <c r="K21" s="2179"/>
      <c r="L21" s="2180"/>
    </row>
    <row r="22" spans="2:13" s="1" customFormat="1" ht="15.75" customHeight="1">
      <c r="B22" s="2181"/>
      <c r="C22" s="2182"/>
      <c r="D22" s="2182"/>
      <c r="E22" s="2182"/>
      <c r="F22" s="2182"/>
      <c r="G22" s="2182"/>
      <c r="H22" s="2182"/>
      <c r="I22" s="2182"/>
      <c r="J22" s="2182"/>
      <c r="K22" s="2182"/>
      <c r="L22" s="2183"/>
    </row>
    <row r="23" spans="2:13" s="1" customFormat="1" ht="15.75" customHeight="1">
      <c r="B23" s="2110" t="s">
        <v>28</v>
      </c>
      <c r="C23" s="2110"/>
      <c r="D23" s="2110"/>
      <c r="E23" s="2110"/>
      <c r="F23" s="2110"/>
      <c r="G23" s="2110"/>
      <c r="H23" s="2110"/>
      <c r="I23" s="2110"/>
      <c r="J23" s="2110"/>
      <c r="K23" s="2110"/>
      <c r="L23" s="2110"/>
    </row>
    <row r="24" spans="2:13" s="1" customFormat="1">
      <c r="B24" s="2110" t="s">
        <v>29</v>
      </c>
      <c r="C24" s="2110"/>
      <c r="D24" s="2110"/>
      <c r="E24" s="2110"/>
      <c r="F24" s="2110"/>
      <c r="G24" s="2110"/>
      <c r="H24" s="2110"/>
      <c r="I24" s="2110"/>
      <c r="J24" s="2110"/>
      <c r="K24" s="2110"/>
      <c r="L24" s="2110"/>
    </row>
    <row r="25" spans="2:13" s="1" customFormat="1" ht="15.75" customHeight="1">
      <c r="B25" s="2110"/>
      <c r="C25" s="2110"/>
      <c r="D25" s="2110"/>
      <c r="E25" s="2110"/>
      <c r="F25" s="2110"/>
      <c r="G25" s="2110"/>
      <c r="H25" s="2110"/>
      <c r="I25" s="2110"/>
      <c r="J25" s="2110"/>
      <c r="K25" s="2110"/>
      <c r="L25" s="2110"/>
    </row>
    <row r="26" spans="2:13" s="1" customFormat="1">
      <c r="B26" s="2110" t="s">
        <v>5</v>
      </c>
      <c r="C26" s="2110"/>
      <c r="D26" s="2110"/>
      <c r="E26" s="2110"/>
      <c r="F26" s="2110"/>
      <c r="G26" s="2110"/>
      <c r="H26" s="2110"/>
      <c r="I26" s="2110"/>
      <c r="J26" s="2110"/>
      <c r="K26" s="2110"/>
      <c r="L26" s="2110"/>
    </row>
    <row r="27" spans="2:13" s="1" customFormat="1">
      <c r="B27" s="45"/>
      <c r="C27" s="45"/>
      <c r="D27" s="45"/>
      <c r="E27" s="45"/>
      <c r="F27" s="45"/>
      <c r="G27" s="45"/>
      <c r="H27" s="45"/>
      <c r="I27" s="44"/>
      <c r="J27" s="44"/>
      <c r="K27" s="44"/>
      <c r="L27" s="44"/>
    </row>
    <row r="28" spans="2:13" ht="20.25">
      <c r="B28" s="2109" t="s">
        <v>77</v>
      </c>
      <c r="C28" s="2109"/>
      <c r="D28" s="2109"/>
      <c r="E28" s="2109"/>
      <c r="F28" s="2109"/>
      <c r="G28" s="2109"/>
      <c r="H28" s="2109"/>
      <c r="I28" s="2109"/>
      <c r="J28" s="2109"/>
      <c r="K28" s="2109"/>
      <c r="L28" s="2109"/>
      <c r="M28" s="86"/>
    </row>
  </sheetData>
  <mergeCells count="20">
    <mergeCell ref="B2:N2"/>
    <mergeCell ref="B3:K3"/>
    <mergeCell ref="B4:B6"/>
    <mergeCell ref="I4:I6"/>
    <mergeCell ref="J4:J6"/>
    <mergeCell ref="K4:K6"/>
    <mergeCell ref="C4:C6"/>
    <mergeCell ref="D4:D6"/>
    <mergeCell ref="E4:H4"/>
    <mergeCell ref="O4:O6"/>
    <mergeCell ref="N4:N6"/>
    <mergeCell ref="M4:M6"/>
    <mergeCell ref="B28:L28"/>
    <mergeCell ref="B18:L18"/>
    <mergeCell ref="B26:L26"/>
    <mergeCell ref="B23:L23"/>
    <mergeCell ref="B24:L25"/>
    <mergeCell ref="B19:L22"/>
    <mergeCell ref="E5:H5"/>
    <mergeCell ref="L4:L6"/>
  </mergeCells>
  <phoneticPr fontId="6" type="noConversion"/>
  <hyperlinks>
    <hyperlink ref="C7" location="Табл.3!B2" display="Выручка от реализации без НДС (табл. 3)"/>
    <hyperlink ref="C8" location="Табл.4!B2" display="Текущие расходы (табл. 4)"/>
    <hyperlink ref="B28:L28" location="начало!A1" display="Переход на начальную страницу"/>
  </hyperlinks>
  <printOptions horizontalCentered="1"/>
  <pageMargins left="0.78740157480314965" right="0.39370078740157483" top="0.78740157480314965" bottom="0.78740157480314965" header="0.31496062992125984" footer="0.31496062992125984"/>
  <pageSetup paperSize="9" scale="9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
  <sheetViews>
    <sheetView view="pageBreakPreview" topLeftCell="B1" zoomScaleNormal="100" zoomScaleSheetLayoutView="100" workbookViewId="0">
      <selection activeCell="I21" sqref="I21"/>
    </sheetView>
  </sheetViews>
  <sheetFormatPr defaultRowHeight="15.75"/>
  <cols>
    <col min="1" max="1" width="5.42578125" customWidth="1"/>
    <col min="2" max="2" width="8.42578125" customWidth="1"/>
    <col min="3" max="3" width="53.140625" style="15" customWidth="1"/>
    <col min="4" max="11" width="13.28515625" customWidth="1"/>
    <col min="12" max="12" width="11.42578125" customWidth="1"/>
    <col min="13" max="13" width="12.28515625" customWidth="1"/>
  </cols>
  <sheetData>
    <row r="1" spans="2:17" ht="18.75">
      <c r="K1" s="1292" t="s">
        <v>633</v>
      </c>
    </row>
    <row r="2" spans="2:17" ht="17.25" customHeight="1">
      <c r="B2" s="2260" t="s">
        <v>142</v>
      </c>
      <c r="C2" s="2260"/>
      <c r="D2" s="2260"/>
      <c r="E2" s="2260"/>
      <c r="F2" s="2260"/>
      <c r="G2" s="2260"/>
      <c r="H2" s="2260"/>
      <c r="I2" s="2260"/>
      <c r="J2" s="2260"/>
      <c r="K2" s="1306" t="s">
        <v>556</v>
      </c>
    </row>
    <row r="3" spans="2:17" ht="18.75" customHeight="1" thickBot="1">
      <c r="B3" s="2155"/>
      <c r="C3" s="2155"/>
      <c r="D3" s="2155"/>
      <c r="E3" s="2155"/>
      <c r="F3" s="2155"/>
      <c r="G3" s="2155"/>
      <c r="H3" s="988"/>
      <c r="K3" s="1314" t="s">
        <v>223</v>
      </c>
    </row>
    <row r="4" spans="2:17" ht="36.75" customHeight="1" thickTop="1" thickBot="1">
      <c r="B4" s="1055" t="s">
        <v>93</v>
      </c>
      <c r="C4" s="1056" t="s">
        <v>84</v>
      </c>
      <c r="D4" s="1056">
        <v>2019</v>
      </c>
      <c r="E4" s="1056">
        <f>D4+1</f>
        <v>2020</v>
      </c>
      <c r="F4" s="1056">
        <f>E4+1</f>
        <v>2021</v>
      </c>
      <c r="G4" s="1056">
        <f>F4+1</f>
        <v>2022</v>
      </c>
      <c r="H4" s="1084">
        <f>G4+1</f>
        <v>2023</v>
      </c>
      <c r="I4" s="1084">
        <f t="shared" ref="I4:K4" si="0">H4+1</f>
        <v>2024</v>
      </c>
      <c r="J4" s="1084">
        <f t="shared" si="0"/>
        <v>2025</v>
      </c>
      <c r="K4" s="1057">
        <f t="shared" si="0"/>
        <v>2026</v>
      </c>
    </row>
    <row r="5" spans="2:17" s="5" customFormat="1">
      <c r="B5" s="1021">
        <v>1</v>
      </c>
      <c r="C5" s="1076" t="s">
        <v>614</v>
      </c>
      <c r="D5" s="1078">
        <f>'1.План'!C13</f>
        <v>0</v>
      </c>
      <c r="E5" s="1079">
        <f>'Табл.1-2'!F32</f>
        <v>0</v>
      </c>
      <c r="F5" s="1079">
        <f>'Табл.1-2'!G32</f>
        <v>0</v>
      </c>
      <c r="G5" s="1079">
        <f>'Табл.1-2'!H32</f>
        <v>0</v>
      </c>
      <c r="H5" s="1085">
        <f>'Табл.1-2'!I32</f>
        <v>0</v>
      </c>
      <c r="I5" s="1085">
        <f>'Табл.1-2'!J32</f>
        <v>0</v>
      </c>
      <c r="J5" s="1085">
        <f>'Табл.1-2'!K32</f>
        <v>0</v>
      </c>
      <c r="K5" s="1309">
        <f>'Табл.1-2'!L32</f>
        <v>0</v>
      </c>
    </row>
    <row r="6" spans="2:17" s="5" customFormat="1" ht="15.75" customHeight="1">
      <c r="B6" s="1014">
        <v>2</v>
      </c>
      <c r="C6" s="1075" t="s">
        <v>615</v>
      </c>
      <c r="D6" s="1031" t="e">
        <f>'25.БалДенСр'!D10</f>
        <v>#REF!</v>
      </c>
      <c r="E6" s="1031" t="e">
        <f>'25.БалДенСр'!E10</f>
        <v>#REF!</v>
      </c>
      <c r="F6" s="1031" t="e">
        <f>'25.БалДенСр'!F10</f>
        <v>#REF!</v>
      </c>
      <c r="G6" s="1031" t="e">
        <f>'25.БалДенСр'!G10</f>
        <v>#REF!</v>
      </c>
      <c r="H6" s="1154" t="e">
        <f>'25.БалДенСр'!H10</f>
        <v>#REF!</v>
      </c>
      <c r="I6" s="1154" t="e">
        <f>'25.БалДенСр'!I10</f>
        <v>#REF!</v>
      </c>
      <c r="J6" s="1154" t="e">
        <f>'25.БалДенСр'!J10</f>
        <v>#REF!</v>
      </c>
      <c r="K6" s="1032" t="e">
        <f>'25.БалДенСр'!K10</f>
        <v>#REF!</v>
      </c>
    </row>
    <row r="7" spans="2:17" s="5" customFormat="1" ht="35.25" customHeight="1">
      <c r="B7" s="1018">
        <v>3</v>
      </c>
      <c r="C7" s="1080" t="s">
        <v>143</v>
      </c>
      <c r="D7" s="1031" t="e">
        <f>D6-D5</f>
        <v>#REF!</v>
      </c>
      <c r="E7" s="1013" t="e">
        <f>D7+E6</f>
        <v>#REF!</v>
      </c>
      <c r="F7" s="1013" t="e">
        <f>E7+F6</f>
        <v>#REF!</v>
      </c>
      <c r="G7" s="1013" t="e">
        <f>F7+G6</f>
        <v>#REF!</v>
      </c>
      <c r="H7" s="1153" t="e">
        <f>G7+H6</f>
        <v>#REF!</v>
      </c>
      <c r="I7" s="1153" t="e">
        <f t="shared" ref="I7" si="1">H7+I6</f>
        <v>#REF!</v>
      </c>
      <c r="J7" s="1153" t="e">
        <f>I7+J6</f>
        <v>#REF!</v>
      </c>
      <c r="K7" s="1153" t="e">
        <f>J7+K6</f>
        <v>#REF!</v>
      </c>
      <c r="L7" s="2109" t="s">
        <v>77</v>
      </c>
      <c r="M7" s="2109"/>
      <c r="N7" s="2109"/>
      <c r="O7" s="2109"/>
      <c r="P7" s="2109"/>
      <c r="Q7" s="85"/>
    </row>
    <row r="8" spans="2:17" s="5" customFormat="1" ht="32.25" customHeight="1">
      <c r="B8" s="1018">
        <v>4</v>
      </c>
      <c r="C8" s="1004" t="s">
        <v>18</v>
      </c>
      <c r="D8" s="1012" t="e">
        <f>(D6)/(D5)</f>
        <v>#REF!</v>
      </c>
      <c r="E8" s="1012" t="e">
        <f>(D6+E6)/(D5+E5)</f>
        <v>#REF!</v>
      </c>
      <c r="F8" s="1012" t="e">
        <f>(D6+E6+F6)/(D5+E5+F5)</f>
        <v>#REF!</v>
      </c>
      <c r="G8" s="1012" t="e">
        <f>(D6+E6+F6+G6)/(D5+E5+F5+G5)</f>
        <v>#REF!</v>
      </c>
      <c r="H8" s="1153" t="e">
        <f>(D6+E6+F6+G6+H6)/(D5+E5+F5+G5+H5)</f>
        <v>#REF!</v>
      </c>
      <c r="I8" s="1153" t="e">
        <f>(D6+E6+F6+G6+H6+I6)/(D5+E5+F5+G5+H5+I5)</f>
        <v>#REF!</v>
      </c>
      <c r="J8" s="1153" t="e">
        <f>(D6+E6+F6+G6+H6+I6+J6)/(D5+E5+F5+G5+H5+I5+J5)</f>
        <v>#REF!</v>
      </c>
      <c r="K8" s="1153" t="e">
        <f>(D6+E6+F6+G6+H6+I6+J6+K6)/(D5+E5+F5+G5+H5+I5+J5+K5)</f>
        <v>#REF!</v>
      </c>
    </row>
    <row r="9" spans="2:17" s="5" customFormat="1" ht="21" customHeight="1" thickBot="1">
      <c r="B9" s="1081">
        <v>5</v>
      </c>
      <c r="C9" s="1082" t="s">
        <v>63</v>
      </c>
      <c r="D9" s="1077" t="e">
        <f>'28.ПЛАН о Фин.сост'!D42</f>
        <v>#REF!</v>
      </c>
      <c r="E9" s="1077" t="e">
        <f>'28.ПЛАН о Фин.сост'!E42</f>
        <v>#REF!</v>
      </c>
      <c r="F9" s="1077" t="e">
        <f>'28.ПЛАН о Фин.сост'!F42</f>
        <v>#REF!</v>
      </c>
      <c r="G9" s="1077" t="e">
        <f>'28.ПЛАН о Фин.сост'!G42</f>
        <v>#REF!</v>
      </c>
      <c r="H9" s="1077" t="e">
        <f>'28.ПЛАН о Фин.сост'!H42</f>
        <v>#REF!</v>
      </c>
      <c r="I9" s="1077" t="e">
        <f>'28.ПЛАН о Фин.сост'!I42</f>
        <v>#REF!</v>
      </c>
      <c r="J9" s="1077" t="e">
        <f>'28.ПЛАН о Фин.сост'!J42</f>
        <v>#REF!</v>
      </c>
      <c r="K9" s="1077" t="e">
        <f>'28.ПЛАН о Фин.сост'!K42</f>
        <v>#REF!</v>
      </c>
    </row>
    <row r="10" spans="2:17" ht="21.75" customHeight="1" thickTop="1">
      <c r="B10" s="40"/>
      <c r="C10" s="17"/>
      <c r="D10" s="41"/>
      <c r="E10" s="41"/>
      <c r="F10" s="41"/>
      <c r="G10" s="41"/>
      <c r="H10" s="41"/>
    </row>
    <row r="11" spans="2:17">
      <c r="B11" s="2260" t="s">
        <v>141</v>
      </c>
      <c r="C11" s="2260"/>
      <c r="D11" s="2260"/>
      <c r="E11" s="2260"/>
      <c r="F11" s="2260"/>
      <c r="G11" s="2260"/>
      <c r="H11" s="2260"/>
      <c r="I11" s="2260"/>
      <c r="J11" s="2260"/>
      <c r="K11" s="1306" t="s">
        <v>557</v>
      </c>
    </row>
    <row r="12" spans="2:17" ht="16.5" thickBot="1">
      <c r="B12" s="2155"/>
      <c r="C12" s="2155"/>
      <c r="D12" s="2155"/>
      <c r="E12" s="2155"/>
      <c r="F12" s="2155"/>
      <c r="G12" s="2155"/>
      <c r="H12" s="988"/>
      <c r="K12" s="1314" t="s">
        <v>223</v>
      </c>
    </row>
    <row r="13" spans="2:17" ht="33" customHeight="1" thickTop="1" thickBot="1">
      <c r="B13" s="1055" t="s">
        <v>93</v>
      </c>
      <c r="C13" s="1056" t="s">
        <v>84</v>
      </c>
      <c r="D13" s="1056">
        <v>2019</v>
      </c>
      <c r="E13" s="1056">
        <f>D13+1</f>
        <v>2020</v>
      </c>
      <c r="F13" s="1056">
        <f>E13+1</f>
        <v>2021</v>
      </c>
      <c r="G13" s="1056">
        <f>F13+1</f>
        <v>2022</v>
      </c>
      <c r="H13" s="1084">
        <f>G13+1</f>
        <v>2023</v>
      </c>
      <c r="I13" s="1084">
        <f t="shared" ref="I13:K13" si="2">H13+1</f>
        <v>2024</v>
      </c>
      <c r="J13" s="1084">
        <f t="shared" si="2"/>
        <v>2025</v>
      </c>
      <c r="K13" s="1057">
        <f t="shared" si="2"/>
        <v>2026</v>
      </c>
    </row>
    <row r="14" spans="2:17" s="4" customFormat="1" ht="18.75" customHeight="1">
      <c r="B14" s="1021">
        <v>1</v>
      </c>
      <c r="C14" s="1076" t="s">
        <v>616</v>
      </c>
      <c r="D14" s="1147" t="e">
        <f>'23.Налоги'!C11</f>
        <v>#REF!</v>
      </c>
      <c r="E14" s="1148" t="e">
        <f>'23.Налоги'!H11</f>
        <v>#REF!</v>
      </c>
      <c r="F14" s="1148" t="e">
        <f>'23.Налоги'!I11</f>
        <v>#REF!</v>
      </c>
      <c r="G14" s="1148" t="e">
        <f>'23.Налоги'!J11</f>
        <v>#REF!</v>
      </c>
      <c r="H14" s="1149" t="e">
        <f>'23.Налоги'!K11</f>
        <v>#REF!</v>
      </c>
      <c r="I14" s="1149" t="e">
        <f>'23.Налоги'!L11</f>
        <v>#REF!</v>
      </c>
      <c r="J14" s="1149" t="e">
        <f>'23.Налоги'!M11</f>
        <v>#REF!</v>
      </c>
      <c r="K14" s="1311" t="e">
        <f>'23.Налоги'!N11</f>
        <v>#REF!</v>
      </c>
    </row>
    <row r="15" spans="2:17" s="4" customFormat="1" ht="21" customHeight="1">
      <c r="B15" s="1014">
        <v>2</v>
      </c>
      <c r="C15" s="1075" t="s">
        <v>617</v>
      </c>
      <c r="D15" s="1031">
        <f>'1.План'!D13</f>
        <v>0</v>
      </c>
      <c r="E15" s="1013"/>
      <c r="F15" s="1013"/>
      <c r="G15" s="1013"/>
      <c r="H15" s="1150"/>
      <c r="I15" s="1151"/>
      <c r="J15" s="1151"/>
      <c r="K15" s="1312"/>
      <c r="L15" s="2109" t="s">
        <v>77</v>
      </c>
      <c r="M15" s="2109"/>
      <c r="N15" s="2109"/>
      <c r="O15" s="2109"/>
      <c r="P15" s="2109"/>
    </row>
    <row r="16" spans="2:17" s="4" customFormat="1" ht="32.25" customHeight="1">
      <c r="B16" s="1018">
        <v>3</v>
      </c>
      <c r="C16" s="1004" t="s">
        <v>144</v>
      </c>
      <c r="D16" s="1152" t="e">
        <f>D14-D15</f>
        <v>#REF!</v>
      </c>
      <c r="E16" s="1012" t="e">
        <f>D16+E14</f>
        <v>#REF!</v>
      </c>
      <c r="F16" s="1012" t="e">
        <f>E16+F14</f>
        <v>#REF!</v>
      </c>
      <c r="G16" s="1012" t="e">
        <f>F16+G14</f>
        <v>#REF!</v>
      </c>
      <c r="H16" s="1153" t="e">
        <f>G16+H14</f>
        <v>#REF!</v>
      </c>
      <c r="I16" s="1153" t="e">
        <f t="shared" ref="I16:K16" si="3">H16+I14</f>
        <v>#REF!</v>
      </c>
      <c r="J16" s="1153" t="e">
        <f t="shared" si="3"/>
        <v>#REF!</v>
      </c>
      <c r="K16" s="1310" t="e">
        <f t="shared" si="3"/>
        <v>#REF!</v>
      </c>
    </row>
    <row r="17" spans="2:16" s="4" customFormat="1" ht="20.25" customHeight="1" thickBot="1">
      <c r="B17" s="1081" t="s">
        <v>128</v>
      </c>
      <c r="C17" s="1082" t="s">
        <v>146</v>
      </c>
      <c r="D17" s="1083" t="e">
        <f>+'22.ФОТ'!D17</f>
        <v>#REF!</v>
      </c>
      <c r="E17" s="1083">
        <f>+'22.ФОТ'!J17</f>
        <v>3</v>
      </c>
      <c r="F17" s="1083" t="e">
        <f>+'22.ФОТ'!P17</f>
        <v>#REF!</v>
      </c>
      <c r="G17" s="1083" t="e">
        <f>+'22.ФОТ'!V17</f>
        <v>#REF!</v>
      </c>
      <c r="H17" s="1086" t="e">
        <f>+'22.ФОТ'!AB17</f>
        <v>#REF!</v>
      </c>
      <c r="I17" s="1086" t="e">
        <f>+'22.ФОТ'!D31</f>
        <v>#REF!</v>
      </c>
      <c r="J17" s="1086" t="e">
        <f>+'22.ФОТ'!J31</f>
        <v>#REF!</v>
      </c>
      <c r="K17" s="1313" t="e">
        <f>+'22.ФОТ'!P31</f>
        <v>#REF!</v>
      </c>
    </row>
    <row r="18" spans="2:16" s="4" customFormat="1" ht="20.25" customHeight="1" thickTop="1">
      <c r="B18" s="40"/>
      <c r="C18" s="18"/>
      <c r="D18" s="41"/>
      <c r="E18" s="42"/>
      <c r="F18" s="42"/>
      <c r="G18" s="42"/>
      <c r="H18" s="42"/>
    </row>
    <row r="19" spans="2:16" s="4" customFormat="1" ht="20.25" customHeight="1">
      <c r="B19" s="2244" t="s">
        <v>60</v>
      </c>
      <c r="C19" s="2245"/>
      <c r="D19" s="2245"/>
      <c r="E19" s="2245"/>
      <c r="F19" s="2245"/>
      <c r="G19" s="2245"/>
      <c r="H19" s="2246"/>
    </row>
    <row r="20" spans="2:16" s="4" customFormat="1" ht="33" customHeight="1">
      <c r="B20" s="2108" t="s">
        <v>47</v>
      </c>
      <c r="C20" s="2108"/>
      <c r="D20" s="2108"/>
      <c r="E20" s="2108"/>
      <c r="F20" s="2108"/>
      <c r="G20" s="2108"/>
      <c r="H20" s="2108"/>
    </row>
    <row r="21" spans="2:16" s="4" customFormat="1" ht="20.25" customHeight="1">
      <c r="B21" s="2108" t="s">
        <v>64</v>
      </c>
      <c r="C21" s="2108"/>
      <c r="D21" s="2108"/>
      <c r="E21" s="2108"/>
      <c r="F21" s="2108"/>
      <c r="G21" s="2108"/>
      <c r="H21" s="2108"/>
    </row>
    <row r="22" spans="2:16" s="4" customFormat="1" ht="18" customHeight="1">
      <c r="B22" s="2108"/>
      <c r="C22" s="2108"/>
      <c r="D22" s="2108"/>
      <c r="E22" s="2108"/>
      <c r="F22" s="2108"/>
      <c r="G22" s="2108"/>
      <c r="H22" s="2108"/>
    </row>
    <row r="23" spans="2:16" s="4" customFormat="1" ht="23.25" customHeight="1">
      <c r="B23" s="2115" t="s">
        <v>48</v>
      </c>
      <c r="C23" s="2269"/>
      <c r="D23" s="2269"/>
      <c r="E23" s="2269"/>
      <c r="F23" s="2269"/>
      <c r="G23" s="2269"/>
      <c r="H23" s="2116"/>
    </row>
    <row r="24" spans="2:16" s="4" customFormat="1" ht="27" customHeight="1">
      <c r="B24" s="2270"/>
      <c r="C24" s="2271"/>
      <c r="D24" s="2271"/>
      <c r="E24" s="2271"/>
      <c r="F24" s="2271"/>
      <c r="G24" s="2271"/>
      <c r="H24" s="2272"/>
    </row>
    <row r="25" spans="2:16" s="4" customFormat="1" ht="20.25" customHeight="1">
      <c r="B25" s="2110" t="s">
        <v>44</v>
      </c>
      <c r="C25" s="2110"/>
      <c r="D25" s="2110"/>
      <c r="E25" s="2110"/>
      <c r="F25" s="2110"/>
      <c r="G25" s="2110"/>
      <c r="H25" s="2110"/>
    </row>
    <row r="26" spans="2:16" s="4" customFormat="1" ht="20.25" customHeight="1">
      <c r="B26" s="2110"/>
      <c r="C26" s="2110"/>
      <c r="D26" s="2110"/>
      <c r="E26" s="2110"/>
      <c r="F26" s="2110"/>
      <c r="G26" s="2110"/>
      <c r="H26" s="2110"/>
    </row>
    <row r="27" spans="2:16" s="4" customFormat="1" ht="20.25" customHeight="1">
      <c r="B27" s="2110" t="s">
        <v>45</v>
      </c>
      <c r="C27" s="2110"/>
      <c r="D27" s="2110"/>
      <c r="E27" s="2110"/>
      <c r="F27" s="2110"/>
      <c r="G27" s="2110"/>
      <c r="H27" s="2110"/>
    </row>
    <row r="28" spans="2:16" s="4" customFormat="1" ht="20.25" customHeight="1">
      <c r="B28" s="2110"/>
      <c r="C28" s="2110"/>
      <c r="D28" s="2110"/>
      <c r="E28" s="2110"/>
      <c r="F28" s="2110"/>
      <c r="G28" s="2110"/>
      <c r="H28" s="2110"/>
    </row>
    <row r="29" spans="2:16" s="4" customFormat="1" ht="7.5" customHeight="1">
      <c r="B29" s="2110"/>
      <c r="C29" s="2110"/>
      <c r="D29" s="2110"/>
      <c r="E29" s="2110"/>
      <c r="F29" s="2110"/>
      <c r="G29" s="2110"/>
      <c r="H29" s="2110"/>
      <c r="L29"/>
      <c r="M29"/>
      <c r="N29"/>
      <c r="O29"/>
      <c r="P29"/>
    </row>
    <row r="30" spans="2:16" s="4" customFormat="1" ht="20.25" customHeight="1">
      <c r="B30" s="2110" t="s">
        <v>181</v>
      </c>
      <c r="C30" s="2110"/>
      <c r="D30" s="2110"/>
      <c r="E30" s="2110"/>
      <c r="F30" s="2110"/>
      <c r="G30" s="2110"/>
      <c r="H30" s="2110"/>
      <c r="L30"/>
      <c r="M30"/>
      <c r="N30"/>
      <c r="O30"/>
      <c r="P30"/>
    </row>
    <row r="31" spans="2:16" ht="12.75" customHeight="1">
      <c r="B31" s="2110"/>
      <c r="C31" s="2110"/>
      <c r="D31" s="2110"/>
      <c r="E31" s="2110"/>
      <c r="F31" s="2110"/>
      <c r="G31" s="2110"/>
      <c r="H31" s="2110"/>
    </row>
    <row r="32" spans="2:16" ht="20.25" customHeight="1">
      <c r="B32" s="2110"/>
      <c r="C32" s="2110"/>
      <c r="D32" s="2110"/>
      <c r="E32" s="2110"/>
      <c r="F32" s="2110"/>
      <c r="G32" s="2110"/>
      <c r="H32" s="2110"/>
    </row>
    <row r="33" spans="2:16" ht="12.75" customHeight="1">
      <c r="B33" s="2110"/>
      <c r="C33" s="2110"/>
      <c r="D33" s="2110"/>
      <c r="E33" s="2110"/>
      <c r="F33" s="2110"/>
      <c r="G33" s="2110"/>
      <c r="H33" s="2110"/>
    </row>
    <row r="34" spans="2:16" ht="15.75" customHeight="1">
      <c r="B34" s="2110"/>
      <c r="C34" s="2110"/>
      <c r="D34" s="2110"/>
      <c r="E34" s="2110"/>
      <c r="F34" s="2110"/>
      <c r="G34" s="2110"/>
      <c r="H34" s="2110"/>
      <c r="L34" s="4"/>
      <c r="M34" s="4"/>
      <c r="N34" s="4"/>
      <c r="O34" s="4"/>
      <c r="P34" s="4"/>
    </row>
    <row r="35" spans="2:16" ht="15.75" customHeight="1">
      <c r="B35" s="2110"/>
      <c r="C35" s="2110"/>
      <c r="D35" s="2110"/>
      <c r="E35" s="2110"/>
      <c r="F35" s="2110"/>
      <c r="G35" s="2110"/>
      <c r="H35" s="2110"/>
      <c r="L35" s="4"/>
      <c r="M35" s="4"/>
      <c r="N35" s="4"/>
      <c r="O35" s="4"/>
      <c r="P35" s="4"/>
    </row>
    <row r="36" spans="2:16" s="4" customFormat="1" ht="15.75" customHeight="1">
      <c r="B36" s="2110" t="s">
        <v>49</v>
      </c>
      <c r="C36" s="2110"/>
      <c r="D36" s="2110"/>
      <c r="E36" s="2110"/>
      <c r="F36" s="2110"/>
      <c r="G36" s="2110"/>
      <c r="H36" s="2110"/>
    </row>
    <row r="37" spans="2:16" s="4" customFormat="1" ht="15.75" customHeight="1">
      <c r="B37" s="2110"/>
      <c r="C37" s="2110"/>
      <c r="D37" s="2110"/>
      <c r="E37" s="2110"/>
      <c r="F37" s="2110"/>
      <c r="G37" s="2110"/>
      <c r="H37" s="2110"/>
    </row>
    <row r="38" spans="2:16" s="4" customFormat="1">
      <c r="B38" s="2110" t="s">
        <v>46</v>
      </c>
      <c r="C38" s="2110"/>
      <c r="D38" s="2110"/>
      <c r="E38" s="2110"/>
      <c r="F38" s="2110"/>
      <c r="G38" s="2110"/>
      <c r="H38" s="2110"/>
      <c r="L38" s="1"/>
      <c r="M38" s="1"/>
      <c r="N38" s="1"/>
      <c r="O38" s="1"/>
      <c r="P38" s="1"/>
    </row>
    <row r="39" spans="2:16" s="4" customFormat="1">
      <c r="B39" s="2110"/>
      <c r="C39" s="2110"/>
      <c r="D39" s="2110"/>
      <c r="E39" s="2110"/>
      <c r="F39" s="2110"/>
      <c r="G39" s="2110"/>
      <c r="H39" s="2110"/>
      <c r="L39" s="1"/>
      <c r="M39" s="1"/>
      <c r="N39" s="1"/>
      <c r="O39" s="1"/>
      <c r="P39" s="1"/>
    </row>
    <row r="40" spans="2:16" s="1" customFormat="1">
      <c r="C40" s="15"/>
    </row>
    <row r="41" spans="2:16" s="1" customFormat="1">
      <c r="C41" s="15"/>
    </row>
    <row r="42" spans="2:16" s="1" customFormat="1">
      <c r="C42" s="15"/>
    </row>
    <row r="43" spans="2:16" s="1" customFormat="1">
      <c r="C43" s="15"/>
    </row>
    <row r="44" spans="2:16" s="1" customFormat="1">
      <c r="C44" s="15"/>
    </row>
    <row r="45" spans="2:16" s="1" customFormat="1">
      <c r="C45" s="15"/>
    </row>
    <row r="46" spans="2:16" s="1" customFormat="1">
      <c r="C46" s="15"/>
      <c r="L46"/>
      <c r="M46"/>
      <c r="N46"/>
      <c r="O46"/>
      <c r="P46"/>
    </row>
    <row r="47" spans="2:16" s="1" customFormat="1">
      <c r="C47" s="15"/>
      <c r="L47"/>
      <c r="M47"/>
      <c r="N47"/>
      <c r="O47"/>
      <c r="P47"/>
    </row>
  </sheetData>
  <mergeCells count="15">
    <mergeCell ref="B38:H39"/>
    <mergeCell ref="L7:P7"/>
    <mergeCell ref="L15:P15"/>
    <mergeCell ref="B19:H19"/>
    <mergeCell ref="B27:H29"/>
    <mergeCell ref="B30:H35"/>
    <mergeCell ref="B20:H20"/>
    <mergeCell ref="B21:H22"/>
    <mergeCell ref="B23:H24"/>
    <mergeCell ref="B12:G12"/>
    <mergeCell ref="B3:G3"/>
    <mergeCell ref="B25:H26"/>
    <mergeCell ref="B2:J2"/>
    <mergeCell ref="B11:J11"/>
    <mergeCell ref="B36:H37"/>
  </mergeCells>
  <phoneticPr fontId="6" type="noConversion"/>
  <conditionalFormatting sqref="D5:K9">
    <cfRule type="cellIs" dxfId="8" priority="1" operator="equal">
      <formula>0</formula>
    </cfRule>
  </conditionalFormatting>
  <hyperlinks>
    <hyperlink ref="C5" location="'Табл.1-2'!A1" display="Инвестиции в проект (табл. 1)"/>
    <hyperlink ref="C6" location="Табл.7!B11" display="Прибыль проекта (стр. 7 табл. 7)"/>
    <hyperlink ref="C14" location="Табл.5!A1" display="Поступления в бюджет в виде налогов (табл. 5)"/>
    <hyperlink ref="C15" location="'Табл.1-2'!B35" display="Расходы бюджета в виде гранта (табл. 2)"/>
    <hyperlink ref="L7:P7" location="начало!A1" display="Переход на начальную страницу"/>
    <hyperlink ref="L15:P15" location="начало!A1" display="Переход на начальную страницу"/>
  </hyperlinks>
  <printOptions horizontalCentered="1"/>
  <pageMargins left="0.78740157480314965" right="0.39370078740157483" top="0.78740157480314965" bottom="0.78740157480314965" header="0.31496062992125984" footer="0.31496062992125984"/>
  <pageSetup paperSize="9" scale="8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view="pageBreakPreview" zoomScaleNormal="100" zoomScaleSheetLayoutView="100" workbookViewId="0">
      <selection activeCell="E7" sqref="E7"/>
    </sheetView>
  </sheetViews>
  <sheetFormatPr defaultRowHeight="15.75"/>
  <cols>
    <col min="3" max="3" width="48.140625" style="15" customWidth="1"/>
    <col min="4" max="11" width="10.140625" style="1089" customWidth="1"/>
  </cols>
  <sheetData>
    <row r="1" spans="2:19" ht="18.75">
      <c r="K1" s="1292" t="s">
        <v>632</v>
      </c>
    </row>
    <row r="2" spans="2:19" ht="17.25" customHeight="1">
      <c r="B2" s="2260" t="s">
        <v>100</v>
      </c>
      <c r="C2" s="2260"/>
      <c r="D2" s="2260"/>
      <c r="E2" s="2260"/>
      <c r="F2" s="2260"/>
      <c r="G2" s="2260"/>
      <c r="H2" s="2260"/>
      <c r="I2" s="2260"/>
      <c r="J2" s="2260"/>
      <c r="K2" s="1306" t="s">
        <v>555</v>
      </c>
    </row>
    <row r="3" spans="2:19" ht="16.5" thickBot="1">
      <c r="B3" s="2273"/>
      <c r="C3" s="2273"/>
      <c r="D3" s="2273"/>
      <c r="E3" s="2273"/>
      <c r="F3" s="2273"/>
      <c r="G3" s="2273"/>
      <c r="H3" s="2273"/>
      <c r="I3" s="2273"/>
      <c r="J3" s="2273"/>
      <c r="K3" s="988" t="s">
        <v>223</v>
      </c>
    </row>
    <row r="4" spans="2:19" ht="33" customHeight="1" thickTop="1" thickBot="1">
      <c r="B4" s="1055" t="s">
        <v>93</v>
      </c>
      <c r="C4" s="1056" t="s">
        <v>84</v>
      </c>
      <c r="D4" s="1056">
        <v>2019</v>
      </c>
      <c r="E4" s="1056">
        <f>D4+1</f>
        <v>2020</v>
      </c>
      <c r="F4" s="1056">
        <f>E4+1</f>
        <v>2021</v>
      </c>
      <c r="G4" s="1056">
        <f>F4+1</f>
        <v>2022</v>
      </c>
      <c r="H4" s="1084">
        <f>G4+1</f>
        <v>2023</v>
      </c>
      <c r="I4" s="1084">
        <f t="shared" ref="I4:K4" si="0">H4+1</f>
        <v>2024</v>
      </c>
      <c r="J4" s="1084">
        <f t="shared" si="0"/>
        <v>2025</v>
      </c>
      <c r="K4" s="1057">
        <f t="shared" si="0"/>
        <v>2026</v>
      </c>
      <c r="M4" s="2109" t="s">
        <v>77</v>
      </c>
      <c r="N4" s="2109"/>
      <c r="O4" s="2109"/>
      <c r="P4" s="2109"/>
      <c r="Q4" s="2109"/>
      <c r="R4" s="2109"/>
      <c r="S4" s="2109"/>
    </row>
    <row r="5" spans="2:19">
      <c r="B5" s="1021">
        <v>1</v>
      </c>
      <c r="C5" s="1054" t="s">
        <v>99</v>
      </c>
      <c r="D5" s="1058">
        <v>100</v>
      </c>
      <c r="E5" s="1059" t="e">
        <f>D23</f>
        <v>#REF!</v>
      </c>
      <c r="F5" s="1059" t="e">
        <f>E23</f>
        <v>#REF!</v>
      </c>
      <c r="G5" s="1059" t="e">
        <f>F23</f>
        <v>#REF!</v>
      </c>
      <c r="H5" s="1087" t="e">
        <f>G23</f>
        <v>#REF!</v>
      </c>
      <c r="I5" s="1087" t="e">
        <f t="shared" ref="I5:K5" si="1">H23</f>
        <v>#REF!</v>
      </c>
      <c r="J5" s="1087" t="e">
        <f t="shared" si="1"/>
        <v>#REF!</v>
      </c>
      <c r="K5" s="1060" t="e">
        <f t="shared" si="1"/>
        <v>#REF!</v>
      </c>
    </row>
    <row r="6" spans="2:19">
      <c r="B6" s="1014">
        <v>2</v>
      </c>
      <c r="C6" s="1001" t="s">
        <v>483</v>
      </c>
      <c r="D6" s="1090">
        <f>ПрСбытПрП!C13</f>
        <v>0</v>
      </c>
      <c r="E6" s="1091">
        <f>ПрСбытПрП!D13</f>
        <v>0</v>
      </c>
      <c r="F6" s="1091">
        <f>ПрСбытПрП!E13</f>
        <v>0</v>
      </c>
      <c r="G6" s="1091">
        <f>ПрСбытПрП!F13</f>
        <v>0</v>
      </c>
      <c r="H6" s="1092">
        <f>ПрСбытПрП!G13</f>
        <v>0</v>
      </c>
      <c r="I6" s="1092">
        <f>ПрСбытПрП!H13</f>
        <v>0</v>
      </c>
      <c r="J6" s="1092" t="e">
        <f>ПрСбытПрП!#REF!</f>
        <v>#REF!</v>
      </c>
      <c r="K6" s="1093" t="e">
        <f>ПрСбытПрП!#REF!</f>
        <v>#REF!</v>
      </c>
    </row>
    <row r="7" spans="2:19">
      <c r="B7" s="1014">
        <v>3</v>
      </c>
      <c r="C7" s="1001" t="s">
        <v>484</v>
      </c>
      <c r="D7" s="1090" t="e">
        <f>ТРП!#REF!</f>
        <v>#REF!</v>
      </c>
      <c r="E7" s="1091" t="e">
        <f>ТРП!#REF!</f>
        <v>#REF!</v>
      </c>
      <c r="F7" s="1091" t="e">
        <f>ТРП!#REF!</f>
        <v>#REF!</v>
      </c>
      <c r="G7" s="1091" t="e">
        <f>ТРП!#REF!</f>
        <v>#REF!</v>
      </c>
      <c r="H7" s="1092" t="e">
        <f>ТРП!#REF!</f>
        <v>#REF!</v>
      </c>
      <c r="I7" s="1092" t="e">
        <f>ТРП!#REF!</f>
        <v>#REF!</v>
      </c>
      <c r="J7" s="1092" t="e">
        <f>ТРП!#REF!</f>
        <v>#REF!</v>
      </c>
      <c r="K7" s="1093" t="e">
        <f>ТРП!#REF!</f>
        <v>#REF!</v>
      </c>
    </row>
    <row r="8" spans="2:19">
      <c r="B8" s="1014">
        <v>4</v>
      </c>
      <c r="C8" s="1001" t="s">
        <v>174</v>
      </c>
      <c r="D8" s="1090" t="e">
        <f>ТРП!#REF!</f>
        <v>#REF!</v>
      </c>
      <c r="E8" s="1091" t="e">
        <f>ТРП!#REF!</f>
        <v>#REF!</v>
      </c>
      <c r="F8" s="1091" t="e">
        <f>ТРП!#REF!</f>
        <v>#REF!</v>
      </c>
      <c r="G8" s="1091" t="e">
        <f>ТРП!#REF!</f>
        <v>#REF!</v>
      </c>
      <c r="H8" s="1092" t="e">
        <f>ТРП!#REF!</f>
        <v>#REF!</v>
      </c>
      <c r="I8" s="1092" t="e">
        <f>ТРП!#REF!</f>
        <v>#REF!</v>
      </c>
      <c r="J8" s="1092" t="e">
        <f>ТРП!#REF!</f>
        <v>#REF!</v>
      </c>
      <c r="K8" s="1093" t="e">
        <f>ТРП!#REF!</f>
        <v>#REF!</v>
      </c>
    </row>
    <row r="9" spans="2:19" s="1" customFormat="1">
      <c r="B9" s="1014">
        <v>5</v>
      </c>
      <c r="C9" s="1001" t="s">
        <v>371</v>
      </c>
      <c r="D9" s="1090" t="e">
        <f>'23.Налоги'!C11</f>
        <v>#REF!</v>
      </c>
      <c r="E9" s="1090" t="e">
        <f>'23.Налоги'!H11</f>
        <v>#REF!</v>
      </c>
      <c r="F9" s="1090" t="e">
        <f>'23.Налоги'!I11</f>
        <v>#REF!</v>
      </c>
      <c r="G9" s="1090" t="e">
        <f>'23.Налоги'!J11</f>
        <v>#REF!</v>
      </c>
      <c r="H9" s="1094" t="e">
        <f>'23.Налоги'!K11</f>
        <v>#REF!</v>
      </c>
      <c r="I9" s="1094" t="e">
        <f>'23.Налоги'!L11</f>
        <v>#REF!</v>
      </c>
      <c r="J9" s="1094" t="e">
        <f>'23.Налоги'!M11</f>
        <v>#REF!</v>
      </c>
      <c r="K9" s="1095" t="e">
        <f>'23.Налоги'!N11</f>
        <v>#REF!</v>
      </c>
    </row>
    <row r="10" spans="2:19" s="20" customFormat="1" ht="34.5" customHeight="1">
      <c r="B10" s="1026">
        <v>6</v>
      </c>
      <c r="C10" s="1000" t="s">
        <v>485</v>
      </c>
      <c r="D10" s="1090" t="e">
        <f>D6-D7+D8-D9</f>
        <v>#REF!</v>
      </c>
      <c r="E10" s="1090" t="e">
        <f>E6-E7+E8-E9</f>
        <v>#REF!</v>
      </c>
      <c r="F10" s="1090" t="e">
        <f>F6-F7+F8-F9</f>
        <v>#REF!</v>
      </c>
      <c r="G10" s="1090" t="e">
        <f>G6-G7+G8-G9</f>
        <v>#REF!</v>
      </c>
      <c r="H10" s="1094" t="e">
        <f>H6-H7+H8-H9</f>
        <v>#REF!</v>
      </c>
      <c r="I10" s="1094" t="e">
        <f t="shared" ref="I10:K10" si="2">I6-I7+I8-I9</f>
        <v>#REF!</v>
      </c>
      <c r="J10" s="1094" t="e">
        <f t="shared" si="2"/>
        <v>#REF!</v>
      </c>
      <c r="K10" s="1095" t="e">
        <f t="shared" si="2"/>
        <v>#REF!</v>
      </c>
    </row>
    <row r="11" spans="2:19" s="5" customFormat="1" ht="18" customHeight="1">
      <c r="B11" s="1029">
        <v>7</v>
      </c>
      <c r="C11" s="1045" t="s">
        <v>482</v>
      </c>
      <c r="D11" s="1091">
        <f>'28.ПЛАН о Фин.сост'!D31</f>
        <v>0</v>
      </c>
      <c r="E11" s="1091">
        <f>'28.ПЛАН о Фин.сост'!E31</f>
        <v>0</v>
      </c>
      <c r="F11" s="1091">
        <f>'28.ПЛАН о Фин.сост'!F31</f>
        <v>0</v>
      </c>
      <c r="G11" s="1091">
        <f>'28.ПЛАН о Фин.сост'!G31</f>
        <v>0</v>
      </c>
      <c r="H11" s="1091">
        <f>'28.ПЛАН о Фин.сост'!H31</f>
        <v>0</v>
      </c>
      <c r="I11" s="1091">
        <f>'28.ПЛАН о Фин.сост'!I31</f>
        <v>0</v>
      </c>
      <c r="J11" s="1091">
        <f>'28.ПЛАН о Фин.сост'!J31</f>
        <v>0</v>
      </c>
      <c r="K11" s="1093">
        <f>'28.ПЛАН о Фин.сост'!K31</f>
        <v>0</v>
      </c>
    </row>
    <row r="12" spans="2:19" s="5" customFormat="1" ht="33.75" customHeight="1">
      <c r="B12" s="1029">
        <v>8</v>
      </c>
      <c r="C12" s="1045" t="s">
        <v>486</v>
      </c>
      <c r="D12" s="1091" t="e">
        <f>'24.Финрез'!D13</f>
        <v>#REF!</v>
      </c>
      <c r="E12" s="1091" t="e">
        <f>'24.Финрез'!I13</f>
        <v>#REF!</v>
      </c>
      <c r="F12" s="1091" t="e">
        <f>'24.Финрез'!J13</f>
        <v>#REF!</v>
      </c>
      <c r="G12" s="1091" t="e">
        <f>'24.Финрез'!K13</f>
        <v>#REF!</v>
      </c>
      <c r="H12" s="1092" t="e">
        <f>'24.Финрез'!L13</f>
        <v>#REF!</v>
      </c>
      <c r="I12" s="1092" t="e">
        <f>'24.Финрез'!M13</f>
        <v>#REF!</v>
      </c>
      <c r="J12" s="1092" t="e">
        <f>'24.Финрез'!N13</f>
        <v>#REF!</v>
      </c>
      <c r="K12" s="1093" t="e">
        <f>'24.Финрез'!O13</f>
        <v>#REF!</v>
      </c>
    </row>
    <row r="13" spans="2:19">
      <c r="B13" s="1029">
        <v>9</v>
      </c>
      <c r="C13" s="1049" t="s">
        <v>27</v>
      </c>
      <c r="D13" s="1090">
        <f>SUM(D14:D17)</f>
        <v>0</v>
      </c>
      <c r="E13" s="1090">
        <f>SUM(E15:E17)</f>
        <v>0</v>
      </c>
      <c r="F13" s="1090">
        <f>SUM(F15:F17)</f>
        <v>0</v>
      </c>
      <c r="G13" s="1090">
        <f>SUM(G15:G17)</f>
        <v>0</v>
      </c>
      <c r="H13" s="1094">
        <f>SUM(H15:H17)</f>
        <v>0</v>
      </c>
      <c r="I13" s="1094">
        <f t="shared" ref="I13:K13" si="3">SUM(I15:I17)</f>
        <v>0</v>
      </c>
      <c r="J13" s="1094">
        <f t="shared" si="3"/>
        <v>0</v>
      </c>
      <c r="K13" s="1095">
        <f t="shared" si="3"/>
        <v>0</v>
      </c>
    </row>
    <row r="14" spans="2:19" ht="15">
      <c r="B14" s="1046"/>
      <c r="C14" s="1052" t="s">
        <v>26</v>
      </c>
      <c r="D14" s="1096">
        <f>'1.План'!E13</f>
        <v>0</v>
      </c>
      <c r="E14" s="1096">
        <f>+'28.ПЛАН о Фин.сост'!E16</f>
        <v>0</v>
      </c>
      <c r="F14" s="1096">
        <f>+'28.ПЛАН о Фин.сост'!F16</f>
        <v>0</v>
      </c>
      <c r="G14" s="1096">
        <f>+'28.ПЛАН о Фин.сост'!G16</f>
        <v>0</v>
      </c>
      <c r="H14" s="1096">
        <f>+'28.ПЛАН о Фин.сост'!H16</f>
        <v>0</v>
      </c>
      <c r="I14" s="1096">
        <f>+'28.ПЛАН о Фин.сост'!I16</f>
        <v>0</v>
      </c>
      <c r="J14" s="1096">
        <f>+'28.ПЛАН о Фин.сост'!J16</f>
        <v>0</v>
      </c>
      <c r="K14" s="1097">
        <f>+'28.ПЛАН о Фин.сост'!K16</f>
        <v>0</v>
      </c>
    </row>
    <row r="15" spans="2:19" s="21" customFormat="1" ht="15">
      <c r="B15" s="1047"/>
      <c r="C15" s="1053" t="str">
        <f>'Табл.1-2'!B41</f>
        <v>кредиты банков (укажите каких)</v>
      </c>
      <c r="D15" s="1096">
        <f>+'28.ПЛАН о Фин.сост'!D15</f>
        <v>0</v>
      </c>
      <c r="E15" s="1096">
        <f>+'28.ПЛАН о Фин.сост'!E15</f>
        <v>0</v>
      </c>
      <c r="F15" s="1096">
        <f>+'28.ПЛАН о Фин.сост'!F15</f>
        <v>0</v>
      </c>
      <c r="G15" s="1096">
        <f>+'28.ПЛАН о Фин.сост'!G15</f>
        <v>0</v>
      </c>
      <c r="H15" s="1096">
        <f>+'28.ПЛАН о Фин.сост'!H15</f>
        <v>0</v>
      </c>
      <c r="I15" s="1096">
        <f>+'28.ПЛАН о Фин.сост'!I15</f>
        <v>0</v>
      </c>
      <c r="J15" s="1096">
        <f>+'28.ПЛАН о Фин.сост'!J15</f>
        <v>0</v>
      </c>
      <c r="K15" s="1097">
        <f>+'28.ПЛАН о Фин.сост'!K15</f>
        <v>0</v>
      </c>
    </row>
    <row r="16" spans="2:19" s="21" customFormat="1" ht="32.25" customHeight="1">
      <c r="B16" s="1047"/>
      <c r="C16" s="1053" t="str">
        <f>'Табл.1-2'!B42</f>
        <v>заемные средства других организаций (укажите каких)</v>
      </c>
      <c r="D16" s="1096">
        <f>'Табл.1-2'!D42</f>
        <v>0</v>
      </c>
      <c r="E16" s="1096">
        <f>'Табл.1-2'!E42</f>
        <v>0</v>
      </c>
      <c r="F16" s="1096">
        <f>'Табл.1-2'!F42</f>
        <v>0</v>
      </c>
      <c r="G16" s="1096">
        <f>'Табл.1-2'!G42</f>
        <v>0</v>
      </c>
      <c r="H16" s="1098">
        <f>'Табл.1-2'!H42</f>
        <v>0</v>
      </c>
      <c r="I16" s="1099"/>
      <c r="J16" s="1099"/>
      <c r="K16" s="1100"/>
    </row>
    <row r="17" spans="2:11" s="21" customFormat="1" ht="15">
      <c r="B17" s="1047"/>
      <c r="C17" s="1053" t="s">
        <v>488</v>
      </c>
      <c r="D17" s="1096">
        <f>+'28.ПЛАН о Фин.сост'!D16</f>
        <v>0</v>
      </c>
      <c r="E17" s="1096">
        <f>+'28.ПЛАН о Фин.сост'!E16</f>
        <v>0</v>
      </c>
      <c r="F17" s="1096">
        <f>+'28.ПЛАН о Фин.сост'!F16</f>
        <v>0</v>
      </c>
      <c r="G17" s="1096">
        <f>+'28.ПЛАН о Фин.сост'!G16</f>
        <v>0</v>
      </c>
      <c r="H17" s="1096">
        <f>+'28.ПЛАН о Фин.сост'!H16</f>
        <v>0</v>
      </c>
      <c r="I17" s="1096">
        <f>+'28.ПЛАН о Фин.сост'!I16</f>
        <v>0</v>
      </c>
      <c r="J17" s="1096">
        <f>+'28.ПЛАН о Фин.сост'!J16</f>
        <v>0</v>
      </c>
      <c r="K17" s="1097">
        <f>+'28.ПЛАН о Фин.сост'!K16</f>
        <v>0</v>
      </c>
    </row>
    <row r="18" spans="2:11" s="21" customFormat="1" ht="30.75" customHeight="1">
      <c r="B18" s="1047"/>
      <c r="C18" s="1053" t="str">
        <f>'Табл.1-2'!B44</f>
        <v>вклад в уставный капитал соучредителя(ей) или акционера(ов) (укажите наименование и долю)</v>
      </c>
      <c r="D18" s="1096"/>
      <c r="E18" s="1096"/>
      <c r="F18" s="1096"/>
      <c r="G18" s="1096"/>
      <c r="H18" s="1096"/>
      <c r="I18" s="1096"/>
      <c r="J18" s="1096"/>
      <c r="K18" s="1097"/>
    </row>
    <row r="19" spans="2:11" s="21" customFormat="1" ht="30.75" customHeight="1">
      <c r="B19" s="1047"/>
      <c r="C19" s="1053" t="str">
        <f>'Табл.1-2'!B45</f>
        <v>другие средства (укажите вид поддержки и наименование программы)</v>
      </c>
      <c r="D19" s="1096"/>
      <c r="E19" s="1096"/>
      <c r="F19" s="1096"/>
      <c r="G19" s="1096"/>
      <c r="H19" s="1096"/>
      <c r="I19" s="1096"/>
      <c r="J19" s="1096"/>
      <c r="K19" s="1097"/>
    </row>
    <row r="20" spans="2:11" s="1" customFormat="1">
      <c r="B20" s="1026">
        <v>10</v>
      </c>
      <c r="C20" s="1050" t="s">
        <v>102</v>
      </c>
      <c r="D20" s="1101">
        <f>'28.ПЛАН о Фин.сост'!D27</f>
        <v>0</v>
      </c>
      <c r="E20" s="1101">
        <f>'28.ПЛАН о Фин.сост'!E27</f>
        <v>0</v>
      </c>
      <c r="F20" s="1101">
        <f>'28.ПЛАН о Фин.сост'!F27</f>
        <v>0</v>
      </c>
      <c r="G20" s="1101">
        <f>'28.ПЛАН о Фин.сост'!G27</f>
        <v>0</v>
      </c>
      <c r="H20" s="1101"/>
      <c r="I20" s="1101"/>
      <c r="J20" s="1101"/>
      <c r="K20" s="1102"/>
    </row>
    <row r="21" spans="2:11" s="22" customFormat="1" ht="33" customHeight="1">
      <c r="B21" s="1026">
        <v>11</v>
      </c>
      <c r="C21" s="1045" t="s">
        <v>487</v>
      </c>
      <c r="D21" s="1090">
        <f>SUM(Кредит!F5:F16)</f>
        <v>0</v>
      </c>
      <c r="E21" s="1090">
        <f>SUM(Кредит!F17:F28)</f>
        <v>0</v>
      </c>
      <c r="F21" s="1090">
        <f>SUM(Кредит!F29:F40)</f>
        <v>0</v>
      </c>
      <c r="G21" s="1090"/>
      <c r="H21" s="1094"/>
      <c r="I21" s="1103"/>
      <c r="J21" s="1103"/>
      <c r="K21" s="1104"/>
    </row>
    <row r="22" spans="2:11" s="22" customFormat="1" ht="33" customHeight="1">
      <c r="B22" s="1026">
        <v>12</v>
      </c>
      <c r="C22" s="906" t="s">
        <v>101</v>
      </c>
      <c r="D22" s="1090">
        <f>D13-D20-D21</f>
        <v>0</v>
      </c>
      <c r="E22" s="1090">
        <f t="shared" ref="E22:K22" si="4">E13-E20-E21</f>
        <v>0</v>
      </c>
      <c r="F22" s="1090">
        <f t="shared" si="4"/>
        <v>0</v>
      </c>
      <c r="G22" s="1090">
        <f t="shared" si="4"/>
        <v>0</v>
      </c>
      <c r="H22" s="1090">
        <f t="shared" si="4"/>
        <v>0</v>
      </c>
      <c r="I22" s="1090">
        <f t="shared" si="4"/>
        <v>0</v>
      </c>
      <c r="J22" s="1090">
        <f t="shared" si="4"/>
        <v>0</v>
      </c>
      <c r="K22" s="1095">
        <f t="shared" si="4"/>
        <v>0</v>
      </c>
    </row>
    <row r="23" spans="2:11" s="23" customFormat="1" ht="33" customHeight="1" thickBot="1">
      <c r="B23" s="1051">
        <v>13</v>
      </c>
      <c r="C23" s="1048" t="s">
        <v>6</v>
      </c>
      <c r="D23" s="1105" t="e">
        <f>D5+D10-D11-D12+D22</f>
        <v>#REF!</v>
      </c>
      <c r="E23" s="1105" t="e">
        <f>E5+E10-E11-E12+E22</f>
        <v>#REF!</v>
      </c>
      <c r="F23" s="1105" t="e">
        <f>F5+F10-F11-F12+F22</f>
        <v>#REF!</v>
      </c>
      <c r="G23" s="1105" t="e">
        <f>G5+G10-G11-G12+G22</f>
        <v>#REF!</v>
      </c>
      <c r="H23" s="1106" t="e">
        <f>H5+H10-H11-H12+H22</f>
        <v>#REF!</v>
      </c>
      <c r="I23" s="1106" t="e">
        <f t="shared" ref="I23:K23" si="5">I5+I10-I11-I12+I22</f>
        <v>#REF!</v>
      </c>
      <c r="J23" s="1106" t="e">
        <f t="shared" si="5"/>
        <v>#REF!</v>
      </c>
      <c r="K23" s="1107" t="e">
        <f t="shared" si="5"/>
        <v>#REF!</v>
      </c>
    </row>
    <row r="24" spans="2:11" ht="16.5" thickTop="1"/>
    <row r="25" spans="2:11" s="1" customFormat="1" ht="15.75" customHeight="1">
      <c r="B25" s="2253" t="s">
        <v>57</v>
      </c>
      <c r="C25" s="2254"/>
      <c r="D25" s="2254"/>
      <c r="E25" s="2254"/>
      <c r="F25" s="2254"/>
      <c r="G25" s="2254"/>
      <c r="H25" s="2255"/>
      <c r="I25" s="33"/>
      <c r="J25" s="33"/>
      <c r="K25" s="33"/>
    </row>
    <row r="26" spans="2:11" s="1" customFormat="1">
      <c r="B26" s="2110" t="s">
        <v>7</v>
      </c>
      <c r="C26" s="2110"/>
      <c r="D26" s="2110"/>
      <c r="E26" s="2110"/>
      <c r="F26" s="2110"/>
      <c r="G26" s="2110"/>
      <c r="H26" s="2110"/>
      <c r="I26" s="33"/>
      <c r="J26" s="33"/>
      <c r="K26" s="33"/>
    </row>
    <row r="27" spans="2:11" s="1" customFormat="1">
      <c r="B27" s="2110"/>
      <c r="C27" s="2110"/>
      <c r="D27" s="2110"/>
      <c r="E27" s="2110"/>
      <c r="F27" s="2110"/>
      <c r="G27" s="2110"/>
      <c r="H27" s="2110"/>
      <c r="I27" s="33"/>
      <c r="J27" s="33"/>
      <c r="K27" s="33"/>
    </row>
    <row r="28" spans="2:11" s="1" customFormat="1">
      <c r="B28" s="2110" t="s">
        <v>8</v>
      </c>
      <c r="C28" s="2110"/>
      <c r="D28" s="2110"/>
      <c r="E28" s="2110"/>
      <c r="F28" s="2110"/>
      <c r="G28" s="2110"/>
      <c r="H28" s="2110"/>
      <c r="I28" s="33"/>
      <c r="J28" s="33"/>
      <c r="K28" s="33"/>
    </row>
    <row r="29" spans="2:11" s="1" customFormat="1" ht="33.75" customHeight="1">
      <c r="B29" s="2110"/>
      <c r="C29" s="2110"/>
      <c r="D29" s="2110"/>
      <c r="E29" s="2110"/>
      <c r="F29" s="2110"/>
      <c r="G29" s="2110"/>
      <c r="H29" s="2110"/>
      <c r="I29" s="33"/>
      <c r="J29" s="33"/>
      <c r="K29" s="33"/>
    </row>
    <row r="30" spans="2:11" s="1" customFormat="1" ht="15.75" customHeight="1">
      <c r="B30" s="2110" t="s">
        <v>31</v>
      </c>
      <c r="C30" s="2110"/>
      <c r="D30" s="2110"/>
      <c r="E30" s="2110"/>
      <c r="F30" s="2110"/>
      <c r="G30" s="2110"/>
      <c r="H30" s="2110"/>
      <c r="I30" s="33"/>
      <c r="J30" s="33"/>
      <c r="K30" s="33"/>
    </row>
    <row r="31" spans="2:11" ht="15.75" customHeight="1">
      <c r="B31" s="2110"/>
      <c r="C31" s="2110"/>
      <c r="D31" s="2110"/>
      <c r="E31" s="2110"/>
      <c r="F31" s="2110"/>
      <c r="G31" s="2110"/>
      <c r="H31" s="2110"/>
    </row>
    <row r="32" spans="2:11" ht="15.75" customHeight="1">
      <c r="B32" s="2110"/>
      <c r="C32" s="2110"/>
      <c r="D32" s="2110"/>
      <c r="E32" s="2110"/>
      <c r="F32" s="2110"/>
      <c r="G32" s="2110"/>
      <c r="H32" s="2110"/>
    </row>
    <row r="33" spans="2:9" ht="15.75" customHeight="1">
      <c r="B33" s="2110" t="s">
        <v>32</v>
      </c>
      <c r="C33" s="2110"/>
      <c r="D33" s="2110"/>
      <c r="E33" s="2110"/>
      <c r="F33" s="2110"/>
      <c r="G33" s="2110"/>
      <c r="H33" s="2110"/>
    </row>
    <row r="34" spans="2:9" ht="15.75" customHeight="1">
      <c r="B34" s="2110"/>
      <c r="C34" s="2110"/>
      <c r="D34" s="2110"/>
      <c r="E34" s="2110"/>
      <c r="F34" s="2110"/>
      <c r="G34" s="2110"/>
      <c r="H34" s="2110"/>
    </row>
    <row r="35" spans="2:9" ht="15.75" customHeight="1">
      <c r="B35" s="45"/>
      <c r="C35" s="45"/>
      <c r="D35" s="1108"/>
      <c r="E35" s="1108"/>
      <c r="F35" s="1108"/>
      <c r="G35" s="1108"/>
      <c r="H35" s="1108"/>
    </row>
    <row r="36" spans="2:9">
      <c r="I36" s="1109"/>
    </row>
  </sheetData>
  <mergeCells count="8">
    <mergeCell ref="B33:H34"/>
    <mergeCell ref="B3:J3"/>
    <mergeCell ref="B2:J2"/>
    <mergeCell ref="M4:S4"/>
    <mergeCell ref="B25:H25"/>
    <mergeCell ref="B26:H27"/>
    <mergeCell ref="B28:H29"/>
    <mergeCell ref="B30:H32"/>
  </mergeCells>
  <phoneticPr fontId="6" type="noConversion"/>
  <hyperlinks>
    <hyperlink ref="C6" location="Табл.3!B2" display="Выручка от реализации без НДС (табл. 3)"/>
    <hyperlink ref="C7" location="Табл.4!B2" display="Текущие расходы (табл. 4)"/>
    <hyperlink ref="C9" location="Табл.5!B2" display="Налоги (табл. 5)"/>
    <hyperlink ref="C11" location="'Табл.1-2'!B2" display="Инвестиционные расходы (табл. 1)"/>
    <hyperlink ref="M4:S4" location="начало!A1" display="Переход на начальную страницу"/>
    <hyperlink ref="C12" location="Табл.6!A12" display="Выплаты части чистой прибыли соучредителю(ям) (табл. 6)"/>
    <hyperlink ref="C8" location="Табл.4!B20" display="Амортизация (разд. 3 табл. 4)"/>
    <hyperlink ref="C21" location="Табл.4!B21" display="Выплата процентов по привлеченным кредитам и займам (разд. 3 табл. 4)"/>
  </hyperlinks>
  <printOptions horizontalCentered="1"/>
  <pageMargins left="0.78740157480314965" right="0.39370078740157483" top="0.78740157480314965" bottom="0.78740157480314965" header="0.31496062992125984" footer="0.31496062992125984"/>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5"/>
  <sheetViews>
    <sheetView showZeros="0" view="pageBreakPreview" zoomScale="90" zoomScaleNormal="100" zoomScaleSheetLayoutView="90" workbookViewId="0">
      <selection activeCell="G106" sqref="G106"/>
    </sheetView>
  </sheetViews>
  <sheetFormatPr defaultRowHeight="15.75"/>
  <cols>
    <col min="1" max="1" width="47" style="15" customWidth="1"/>
    <col min="2" max="2" width="12.5703125" customWidth="1"/>
    <col min="3" max="3" width="10.5703125" hidden="1" customWidth="1"/>
    <col min="4" max="4" width="11.42578125" hidden="1" customWidth="1"/>
    <col min="5" max="5" width="9.85546875" hidden="1" customWidth="1"/>
    <col min="6" max="6" width="11.7109375" hidden="1" customWidth="1"/>
    <col min="7" max="13" width="12.5703125" customWidth="1"/>
  </cols>
  <sheetData>
    <row r="1" spans="1:24" ht="17.25" customHeight="1">
      <c r="A1" s="2260" t="s">
        <v>105</v>
      </c>
      <c r="B1" s="2260"/>
      <c r="C1" s="2260"/>
      <c r="D1" s="2260"/>
      <c r="E1" s="2260"/>
      <c r="F1" s="2260"/>
      <c r="G1" s="2260"/>
      <c r="H1" s="2260"/>
      <c r="I1" s="2260"/>
      <c r="J1" s="2260"/>
      <c r="K1" s="2260"/>
      <c r="L1" s="2260"/>
      <c r="M1" s="2260"/>
    </row>
    <row r="2" spans="1:24" ht="16.5" thickBot="1">
      <c r="A2" s="2155"/>
      <c r="B2" s="2155"/>
      <c r="C2" s="2155"/>
      <c r="D2" s="2155"/>
      <c r="E2" s="2155"/>
      <c r="F2" s="2155"/>
      <c r="G2" s="2155"/>
      <c r="H2" s="2155"/>
      <c r="I2" s="2155"/>
      <c r="J2" s="2155"/>
      <c r="M2" s="1306" t="s">
        <v>557</v>
      </c>
    </row>
    <row r="3" spans="1:24" ht="33.75" customHeight="1" thickTop="1" thickBot="1">
      <c r="A3" s="1143" t="s">
        <v>84</v>
      </c>
      <c r="B3" s="1144">
        <v>2019</v>
      </c>
      <c r="C3" s="1145"/>
      <c r="D3" s="1145"/>
      <c r="E3" s="1145"/>
      <c r="F3" s="1145"/>
      <c r="G3" s="1144">
        <f>B3+1</f>
        <v>2020</v>
      </c>
      <c r="H3" s="1144">
        <f>G3+1</f>
        <v>2021</v>
      </c>
      <c r="I3" s="1144">
        <f>H3+1</f>
        <v>2022</v>
      </c>
      <c r="J3" s="1144">
        <f>I3+1</f>
        <v>2023</v>
      </c>
      <c r="K3" s="1144">
        <f t="shared" ref="K3:M3" si="0">J3+1</f>
        <v>2024</v>
      </c>
      <c r="L3" s="1144">
        <f t="shared" si="0"/>
        <v>2025</v>
      </c>
      <c r="M3" s="1146">
        <f t="shared" si="0"/>
        <v>2026</v>
      </c>
      <c r="O3" s="2277" t="s">
        <v>77</v>
      </c>
      <c r="P3" s="2277"/>
      <c r="Q3" s="2277"/>
      <c r="R3" s="2277"/>
      <c r="S3" s="2277"/>
      <c r="T3" s="2277"/>
      <c r="U3" s="2277"/>
      <c r="V3" s="2277"/>
      <c r="W3" s="2277"/>
      <c r="X3" s="2277"/>
    </row>
    <row r="4" spans="1:24" s="27" customFormat="1" ht="14.25">
      <c r="A4" s="1139" t="s">
        <v>92</v>
      </c>
      <c r="B4" s="1140" t="e">
        <f>SUM(C4:F4)</f>
        <v>#REF!</v>
      </c>
      <c r="C4" s="1140" t="e">
        <f>ПрСбытПрП!#REF!</f>
        <v>#REF!</v>
      </c>
      <c r="D4" s="1140" t="e">
        <f>ПрСбытПрП!#REF!</f>
        <v>#REF!</v>
      </c>
      <c r="E4" s="1140" t="e">
        <f>ПрСбытПрП!#REF!</f>
        <v>#REF!</v>
      </c>
      <c r="F4" s="1140" t="e">
        <f>ПрСбытПрП!#REF!</f>
        <v>#REF!</v>
      </c>
      <c r="G4" s="1141">
        <f>ПрСбытПрП!D13</f>
        <v>0</v>
      </c>
      <c r="H4" s="1141">
        <f>ПрСбытПрП!E13</f>
        <v>0</v>
      </c>
      <c r="I4" s="1141">
        <f>ПрСбытПрП!F13</f>
        <v>0</v>
      </c>
      <c r="J4" s="1141">
        <f>ПрСбытПрП!G13</f>
        <v>0</v>
      </c>
      <c r="K4" s="1141">
        <f>ПрСбытПрП!H13</f>
        <v>0</v>
      </c>
      <c r="L4" s="1141" t="e">
        <f>ПрСбытПрП!#REF!</f>
        <v>#REF!</v>
      </c>
      <c r="M4" s="1142" t="e">
        <f>ПрСбытПрП!#REF!</f>
        <v>#REF!</v>
      </c>
    </row>
    <row r="5" spans="1:24" s="26" customFormat="1" ht="12.75">
      <c r="A5" s="1123" t="e">
        <f>ПрСбытПрП!#REF!</f>
        <v>#REF!</v>
      </c>
      <c r="B5" s="1118" t="e">
        <f>SUM(C5:F5)</f>
        <v>#REF!</v>
      </c>
      <c r="C5" s="1118" t="e">
        <f>ПрСбытПрП!#REF!</f>
        <v>#REF!</v>
      </c>
      <c r="D5" s="1118" t="e">
        <f>ПрСбытПрП!#REF!</f>
        <v>#REF!</v>
      </c>
      <c r="E5" s="1118" t="e">
        <f>ПрСбытПрП!#REF!</f>
        <v>#REF!</v>
      </c>
      <c r="F5" s="1118" t="e">
        <f>ПрСбытПрП!#REF!</f>
        <v>#REF!</v>
      </c>
      <c r="G5" s="1119" t="e">
        <f>ПрСбытПрП!#REF!</f>
        <v>#REF!</v>
      </c>
      <c r="H5" s="1119" t="e">
        <f>ПрСбытПрП!#REF!</f>
        <v>#REF!</v>
      </c>
      <c r="I5" s="1119" t="e">
        <f>ПрСбытПрП!#REF!</f>
        <v>#REF!</v>
      </c>
      <c r="J5" s="1119" t="e">
        <f>ПрСбытПрП!#REF!</f>
        <v>#REF!</v>
      </c>
      <c r="K5" s="1119" t="e">
        <f>ПрСбытПрП!#REF!</f>
        <v>#REF!</v>
      </c>
      <c r="L5" s="1119" t="e">
        <f>ПрСбытПрП!#REF!</f>
        <v>#REF!</v>
      </c>
      <c r="M5" s="1124" t="e">
        <f>ПрСбытПрП!#REF!</f>
        <v>#REF!</v>
      </c>
    </row>
    <row r="6" spans="1:24" s="26" customFormat="1" ht="12.75">
      <c r="A6" s="1123" t="e">
        <f>ПрСбытПрП!#REF!</f>
        <v>#REF!</v>
      </c>
      <c r="B6" s="1118" t="e">
        <f t="shared" ref="B6:B20" si="1">SUM(C6:F6)</f>
        <v>#REF!</v>
      </c>
      <c r="C6" s="1118" t="e">
        <f>ПрСбытПрП!#REF!</f>
        <v>#REF!</v>
      </c>
      <c r="D6" s="1118" t="e">
        <f>ПрСбытПрП!#REF!</f>
        <v>#REF!</v>
      </c>
      <c r="E6" s="1118" t="e">
        <f>ПрСбытПрП!#REF!</f>
        <v>#REF!</v>
      </c>
      <c r="F6" s="1118" t="e">
        <f>ПрСбытПрП!#REF!</f>
        <v>#REF!</v>
      </c>
      <c r="G6" s="1119" t="e">
        <f>ПрСбытПрП!#REF!</f>
        <v>#REF!</v>
      </c>
      <c r="H6" s="1119" t="e">
        <f>ПрСбытПрП!#REF!</f>
        <v>#REF!</v>
      </c>
      <c r="I6" s="1119" t="e">
        <f>ПрСбытПрП!#REF!</f>
        <v>#REF!</v>
      </c>
      <c r="J6" s="1119" t="e">
        <f>ПрСбытПрП!#REF!</f>
        <v>#REF!</v>
      </c>
      <c r="K6" s="1119" t="e">
        <f>ПрСбытПрП!#REF!</f>
        <v>#REF!</v>
      </c>
      <c r="L6" s="1119" t="e">
        <f>ПрСбытПрП!#REF!</f>
        <v>#REF!</v>
      </c>
      <c r="M6" s="1124" t="e">
        <f>ПрСбытПрП!#REF!</f>
        <v>#REF!</v>
      </c>
    </row>
    <row r="7" spans="1:24" s="26" customFormat="1" ht="12.75">
      <c r="A7" s="1123" t="e">
        <f>ПрСбытПрП!#REF!</f>
        <v>#REF!</v>
      </c>
      <c r="B7" s="1118" t="e">
        <f t="shared" si="1"/>
        <v>#REF!</v>
      </c>
      <c r="C7" s="1118" t="e">
        <f>ПрСбытПрП!#REF!</f>
        <v>#REF!</v>
      </c>
      <c r="D7" s="1118" t="e">
        <f>ПрСбытПрП!#REF!</f>
        <v>#REF!</v>
      </c>
      <c r="E7" s="1118" t="e">
        <f>ПрСбытПрП!#REF!</f>
        <v>#REF!</v>
      </c>
      <c r="F7" s="1118" t="e">
        <f>ПрСбытПрП!#REF!</f>
        <v>#REF!</v>
      </c>
      <c r="G7" s="1119" t="e">
        <f>ПрСбытПрП!#REF!</f>
        <v>#REF!</v>
      </c>
      <c r="H7" s="1119" t="e">
        <f>ПрСбытПрП!#REF!</f>
        <v>#REF!</v>
      </c>
      <c r="I7" s="1119" t="e">
        <f>ПрСбытПрП!#REF!</f>
        <v>#REF!</v>
      </c>
      <c r="J7" s="1119" t="e">
        <f>ПрСбытПрП!#REF!</f>
        <v>#REF!</v>
      </c>
      <c r="K7" s="1119" t="e">
        <f>ПрСбытПрП!#REF!</f>
        <v>#REF!</v>
      </c>
      <c r="L7" s="1119" t="e">
        <f>ПрСбытПрП!#REF!</f>
        <v>#REF!</v>
      </c>
      <c r="M7" s="1124" t="e">
        <f>ПрСбытПрП!#REF!</f>
        <v>#REF!</v>
      </c>
    </row>
    <row r="8" spans="1:24" s="26" customFormat="1" ht="12.75" hidden="1">
      <c r="A8" s="1123" t="e">
        <f>ПрСбытПрП!#REF!</f>
        <v>#REF!</v>
      </c>
      <c r="B8" s="1112" t="e">
        <f t="shared" si="1"/>
        <v>#REF!</v>
      </c>
      <c r="C8" s="1112" t="e">
        <f>ПрСбытПрП!#REF!</f>
        <v>#REF!</v>
      </c>
      <c r="D8" s="1112" t="e">
        <f>ПрСбытПрП!#REF!</f>
        <v>#REF!</v>
      </c>
      <c r="E8" s="1112" t="e">
        <f>ПрСбытПрП!#REF!</f>
        <v>#REF!</v>
      </c>
      <c r="F8" s="1112" t="e">
        <f>ПрСбытПрП!#REF!</f>
        <v>#REF!</v>
      </c>
      <c r="G8" s="1112" t="e">
        <f>ПрСбытПрП!#REF!</f>
        <v>#REF!</v>
      </c>
      <c r="H8" s="1112" t="e">
        <f>ПрСбытПрП!#REF!</f>
        <v>#REF!</v>
      </c>
      <c r="I8" s="1112" t="e">
        <f>ПрСбытПрП!#REF!</f>
        <v>#REF!</v>
      </c>
      <c r="J8" s="1112" t="e">
        <f>ПрСбытПрП!#REF!</f>
        <v>#REF!</v>
      </c>
      <c r="K8" s="1110"/>
      <c r="L8" s="1110"/>
      <c r="M8" s="1125"/>
    </row>
    <row r="9" spans="1:24" s="26" customFormat="1" ht="12.75" hidden="1">
      <c r="A9" s="1123" t="e">
        <f>ПрСбытПрП!#REF!</f>
        <v>#REF!</v>
      </c>
      <c r="B9" s="1112" t="e">
        <f t="shared" si="1"/>
        <v>#REF!</v>
      </c>
      <c r="C9" s="1112" t="e">
        <f>ПрСбытПрП!#REF!</f>
        <v>#REF!</v>
      </c>
      <c r="D9" s="1112" t="e">
        <f>ПрСбытПрП!#REF!</f>
        <v>#REF!</v>
      </c>
      <c r="E9" s="1112" t="e">
        <f>ПрСбытПрП!#REF!</f>
        <v>#REF!</v>
      </c>
      <c r="F9" s="1112" t="e">
        <f>ПрСбытПрП!#REF!</f>
        <v>#REF!</v>
      </c>
      <c r="G9" s="1112" t="e">
        <f>ПрСбытПрП!#REF!</f>
        <v>#REF!</v>
      </c>
      <c r="H9" s="1112" t="e">
        <f>ПрСбытПрП!#REF!</f>
        <v>#REF!</v>
      </c>
      <c r="I9" s="1112" t="e">
        <f>ПрСбытПрП!#REF!</f>
        <v>#REF!</v>
      </c>
      <c r="J9" s="1112" t="e">
        <f>ПрСбытПрП!#REF!</f>
        <v>#REF!</v>
      </c>
      <c r="K9" s="1110"/>
      <c r="L9" s="1110"/>
      <c r="M9" s="1125"/>
    </row>
    <row r="10" spans="1:24" s="26" customFormat="1" ht="12.75" hidden="1">
      <c r="A10" s="1123" t="e">
        <f>ПрСбытПрП!#REF!</f>
        <v>#REF!</v>
      </c>
      <c r="B10" s="1112" t="e">
        <f t="shared" si="1"/>
        <v>#REF!</v>
      </c>
      <c r="C10" s="1112" t="e">
        <f>ПрСбытПрП!#REF!</f>
        <v>#REF!</v>
      </c>
      <c r="D10" s="1112" t="e">
        <f>ПрСбытПрП!#REF!</f>
        <v>#REF!</v>
      </c>
      <c r="E10" s="1112" t="e">
        <f>ПрСбытПрП!#REF!</f>
        <v>#REF!</v>
      </c>
      <c r="F10" s="1112" t="e">
        <f>ПрСбытПрП!#REF!</f>
        <v>#REF!</v>
      </c>
      <c r="G10" s="1112" t="e">
        <f>ПрСбытПрП!#REF!</f>
        <v>#REF!</v>
      </c>
      <c r="H10" s="1112" t="e">
        <f>ПрСбытПрП!#REF!</f>
        <v>#REF!</v>
      </c>
      <c r="I10" s="1112" t="e">
        <f>ПрСбытПрП!#REF!</f>
        <v>#REF!</v>
      </c>
      <c r="J10" s="1112" t="e">
        <f>ПрСбытПрП!#REF!</f>
        <v>#REF!</v>
      </c>
      <c r="K10" s="1110"/>
      <c r="L10" s="1110"/>
      <c r="M10" s="1125"/>
    </row>
    <row r="11" spans="1:24" s="26" customFormat="1" ht="12.75" hidden="1">
      <c r="A11" s="1123" t="e">
        <f>ПрСбытПрП!#REF!</f>
        <v>#REF!</v>
      </c>
      <c r="B11" s="1112" t="e">
        <f t="shared" si="1"/>
        <v>#REF!</v>
      </c>
      <c r="C11" s="1112" t="e">
        <f>ПрСбытПрП!#REF!</f>
        <v>#REF!</v>
      </c>
      <c r="D11" s="1112" t="e">
        <f>ПрСбытПрП!#REF!</f>
        <v>#REF!</v>
      </c>
      <c r="E11" s="1112" t="e">
        <f>ПрСбытПрП!#REF!</f>
        <v>#REF!</v>
      </c>
      <c r="F11" s="1112" t="e">
        <f>ПрСбытПрП!#REF!</f>
        <v>#REF!</v>
      </c>
      <c r="G11" s="1112" t="e">
        <f>ПрСбытПрП!#REF!</f>
        <v>#REF!</v>
      </c>
      <c r="H11" s="1112" t="e">
        <f>ПрСбытПрП!#REF!</f>
        <v>#REF!</v>
      </c>
      <c r="I11" s="1112" t="e">
        <f>ПрСбытПрП!#REF!</f>
        <v>#REF!</v>
      </c>
      <c r="J11" s="1112" t="e">
        <f>ПрСбытПрП!#REF!</f>
        <v>#REF!</v>
      </c>
      <c r="K11" s="1110"/>
      <c r="L11" s="1110"/>
      <c r="M11" s="1125"/>
    </row>
    <row r="12" spans="1:24" s="26" customFormat="1" ht="12.75" hidden="1">
      <c r="A12" s="1123" t="e">
        <f>ПрСбытПрП!#REF!</f>
        <v>#REF!</v>
      </c>
      <c r="B12" s="1112" t="e">
        <f t="shared" si="1"/>
        <v>#REF!</v>
      </c>
      <c r="C12" s="1112" t="e">
        <f>ПрСбытПрП!#REF!</f>
        <v>#REF!</v>
      </c>
      <c r="D12" s="1112" t="e">
        <f>ПрСбытПрП!#REF!</f>
        <v>#REF!</v>
      </c>
      <c r="E12" s="1112" t="e">
        <f>ПрСбытПрП!#REF!</f>
        <v>#REF!</v>
      </c>
      <c r="F12" s="1112" t="e">
        <f>ПрСбытПрП!#REF!</f>
        <v>#REF!</v>
      </c>
      <c r="G12" s="1112" t="e">
        <f>ПрСбытПрП!#REF!</f>
        <v>#REF!</v>
      </c>
      <c r="H12" s="1112" t="e">
        <f>ПрСбытПрП!#REF!</f>
        <v>#REF!</v>
      </c>
      <c r="I12" s="1112" t="e">
        <f>ПрСбытПрП!#REF!</f>
        <v>#REF!</v>
      </c>
      <c r="J12" s="1112" t="e">
        <f>ПрСбытПрП!#REF!</f>
        <v>#REF!</v>
      </c>
      <c r="K12" s="1110"/>
      <c r="L12" s="1110"/>
      <c r="M12" s="1125"/>
    </row>
    <row r="13" spans="1:24" s="26" customFormat="1" ht="12.75" hidden="1">
      <c r="A13" s="1123" t="e">
        <f>ПрСбытПрП!#REF!</f>
        <v>#REF!</v>
      </c>
      <c r="B13" s="1112" t="e">
        <f t="shared" si="1"/>
        <v>#REF!</v>
      </c>
      <c r="C13" s="1112" t="e">
        <f>ПрСбытПрП!#REF!</f>
        <v>#REF!</v>
      </c>
      <c r="D13" s="1112" t="e">
        <f>ПрСбытПрП!#REF!</f>
        <v>#REF!</v>
      </c>
      <c r="E13" s="1112" t="e">
        <f>ПрСбытПрП!#REF!</f>
        <v>#REF!</v>
      </c>
      <c r="F13" s="1112" t="e">
        <f>ПрСбытПрП!#REF!</f>
        <v>#REF!</v>
      </c>
      <c r="G13" s="1112" t="e">
        <f>ПрСбытПрП!#REF!</f>
        <v>#REF!</v>
      </c>
      <c r="H13" s="1112" t="e">
        <f>ПрСбытПрП!#REF!</f>
        <v>#REF!</v>
      </c>
      <c r="I13" s="1112" t="e">
        <f>ПрСбытПрП!#REF!</f>
        <v>#REF!</v>
      </c>
      <c r="J13" s="1112" t="e">
        <f>ПрСбытПрП!#REF!</f>
        <v>#REF!</v>
      </c>
      <c r="K13" s="1110"/>
      <c r="L13" s="1110"/>
      <c r="M13" s="1125"/>
    </row>
    <row r="14" spans="1:24" s="26" customFormat="1" ht="12.75" hidden="1">
      <c r="A14" s="1123" t="e">
        <f>ПрСбытПрП!#REF!</f>
        <v>#REF!</v>
      </c>
      <c r="B14" s="1112" t="e">
        <f t="shared" si="1"/>
        <v>#REF!</v>
      </c>
      <c r="C14" s="1112" t="e">
        <f>ПрСбытПрП!#REF!</f>
        <v>#REF!</v>
      </c>
      <c r="D14" s="1112" t="e">
        <f>ПрСбытПрП!#REF!</f>
        <v>#REF!</v>
      </c>
      <c r="E14" s="1112" t="e">
        <f>ПрСбытПрП!#REF!</f>
        <v>#REF!</v>
      </c>
      <c r="F14" s="1112" t="e">
        <f>ПрСбытПрП!#REF!</f>
        <v>#REF!</v>
      </c>
      <c r="G14" s="1112" t="e">
        <f>ПрСбытПрП!#REF!</f>
        <v>#REF!</v>
      </c>
      <c r="H14" s="1112" t="e">
        <f>ПрСбытПрП!#REF!</f>
        <v>#REF!</v>
      </c>
      <c r="I14" s="1112" t="e">
        <f>ПрСбытПрП!#REF!</f>
        <v>#REF!</v>
      </c>
      <c r="J14" s="1112" t="e">
        <f>ПрСбытПрП!#REF!</f>
        <v>#REF!</v>
      </c>
      <c r="K14" s="1110"/>
      <c r="L14" s="1110"/>
      <c r="M14" s="1125"/>
    </row>
    <row r="15" spans="1:24" s="26" customFormat="1" ht="12.75" hidden="1">
      <c r="A15" s="1123" t="e">
        <f>ПрСбытПрП!#REF!</f>
        <v>#REF!</v>
      </c>
      <c r="B15" s="1112" t="e">
        <f t="shared" si="1"/>
        <v>#REF!</v>
      </c>
      <c r="C15" s="1112" t="e">
        <f>ПрСбытПрП!#REF!</f>
        <v>#REF!</v>
      </c>
      <c r="D15" s="1112" t="e">
        <f>ПрСбытПрП!#REF!</f>
        <v>#REF!</v>
      </c>
      <c r="E15" s="1112" t="e">
        <f>ПрСбытПрП!#REF!</f>
        <v>#REF!</v>
      </c>
      <c r="F15" s="1112" t="e">
        <f>ПрСбытПрП!#REF!</f>
        <v>#REF!</v>
      </c>
      <c r="G15" s="1112" t="e">
        <f>ПрСбытПрП!#REF!</f>
        <v>#REF!</v>
      </c>
      <c r="H15" s="1112" t="e">
        <f>ПрСбытПрП!#REF!</f>
        <v>#REF!</v>
      </c>
      <c r="I15" s="1112" t="e">
        <f>ПрСбытПрП!#REF!</f>
        <v>#REF!</v>
      </c>
      <c r="J15" s="1112" t="e">
        <f>ПрСбытПрП!#REF!</f>
        <v>#REF!</v>
      </c>
      <c r="K15" s="1110"/>
      <c r="L15" s="1110"/>
      <c r="M15" s="1125"/>
    </row>
    <row r="16" spans="1:24" s="26" customFormat="1" ht="12.75" hidden="1">
      <c r="A16" s="1123" t="e">
        <f>ПрСбытПрП!#REF!</f>
        <v>#REF!</v>
      </c>
      <c r="B16" s="1112" t="e">
        <f t="shared" si="1"/>
        <v>#REF!</v>
      </c>
      <c r="C16" s="1112" t="e">
        <f>ПрСбытПрП!#REF!</f>
        <v>#REF!</v>
      </c>
      <c r="D16" s="1112" t="e">
        <f>ПрСбытПрП!#REF!</f>
        <v>#REF!</v>
      </c>
      <c r="E16" s="1112" t="e">
        <f>ПрСбытПрП!#REF!</f>
        <v>#REF!</v>
      </c>
      <c r="F16" s="1112" t="e">
        <f>ПрСбытПрП!#REF!</f>
        <v>#REF!</v>
      </c>
      <c r="G16" s="1112" t="e">
        <f>ПрСбытПрП!#REF!</f>
        <v>#REF!</v>
      </c>
      <c r="H16" s="1112" t="e">
        <f>ПрСбытПрП!#REF!</f>
        <v>#REF!</v>
      </c>
      <c r="I16" s="1112" t="e">
        <f>ПрСбытПрП!#REF!</f>
        <v>#REF!</v>
      </c>
      <c r="J16" s="1112" t="e">
        <f>ПрСбытПрП!#REF!</f>
        <v>#REF!</v>
      </c>
      <c r="K16" s="1110"/>
      <c r="L16" s="1110"/>
      <c r="M16" s="1125"/>
    </row>
    <row r="17" spans="1:13" s="26" customFormat="1" ht="12.75" hidden="1">
      <c r="A17" s="1123" t="e">
        <f>ПрСбытПрП!#REF!</f>
        <v>#REF!</v>
      </c>
      <c r="B17" s="1112" t="e">
        <f t="shared" si="1"/>
        <v>#REF!</v>
      </c>
      <c r="C17" s="1112" t="e">
        <f>ПрСбытПрП!#REF!</f>
        <v>#REF!</v>
      </c>
      <c r="D17" s="1112" t="e">
        <f>ПрСбытПрП!#REF!</f>
        <v>#REF!</v>
      </c>
      <c r="E17" s="1112" t="e">
        <f>ПрСбытПрП!#REF!</f>
        <v>#REF!</v>
      </c>
      <c r="F17" s="1112" t="e">
        <f>ПрСбытПрП!#REF!</f>
        <v>#REF!</v>
      </c>
      <c r="G17" s="1112" t="e">
        <f>ПрСбытПрП!#REF!</f>
        <v>#REF!</v>
      </c>
      <c r="H17" s="1112" t="e">
        <f>ПрСбытПрП!#REF!</f>
        <v>#REF!</v>
      </c>
      <c r="I17" s="1112" t="e">
        <f>ПрСбытПрП!#REF!</f>
        <v>#REF!</v>
      </c>
      <c r="J17" s="1112" t="e">
        <f>ПрСбытПрП!#REF!</f>
        <v>#REF!</v>
      </c>
      <c r="K17" s="1110"/>
      <c r="L17" s="1110"/>
      <c r="M17" s="1125"/>
    </row>
    <row r="18" spans="1:13" s="26" customFormat="1" ht="12.75" hidden="1">
      <c r="A18" s="1123" t="e">
        <f>ПрСбытПрП!#REF!</f>
        <v>#REF!</v>
      </c>
      <c r="B18" s="1112" t="e">
        <f t="shared" si="1"/>
        <v>#REF!</v>
      </c>
      <c r="C18" s="1112" t="e">
        <f>ПрСбытПрП!#REF!</f>
        <v>#REF!</v>
      </c>
      <c r="D18" s="1112" t="e">
        <f>ПрСбытПрП!#REF!</f>
        <v>#REF!</v>
      </c>
      <c r="E18" s="1112" t="e">
        <f>ПрСбытПрП!#REF!</f>
        <v>#REF!</v>
      </c>
      <c r="F18" s="1112" t="e">
        <f>ПрСбытПрП!#REF!</f>
        <v>#REF!</v>
      </c>
      <c r="G18" s="1112" t="e">
        <f>ПрСбытПрП!#REF!</f>
        <v>#REF!</v>
      </c>
      <c r="H18" s="1112" t="e">
        <f>ПрСбытПрП!#REF!</f>
        <v>#REF!</v>
      </c>
      <c r="I18" s="1112" t="e">
        <f>ПрСбытПрП!#REF!</f>
        <v>#REF!</v>
      </c>
      <c r="J18" s="1112" t="e">
        <f>ПрСбытПрП!#REF!</f>
        <v>#REF!</v>
      </c>
      <c r="K18" s="1110"/>
      <c r="L18" s="1110"/>
      <c r="M18" s="1125"/>
    </row>
    <row r="19" spans="1:13" s="26" customFormat="1" ht="12.75" hidden="1">
      <c r="A19" s="1123" t="e">
        <f>ПрСбытПрП!#REF!</f>
        <v>#REF!</v>
      </c>
      <c r="B19" s="1112" t="e">
        <f t="shared" si="1"/>
        <v>#REF!</v>
      </c>
      <c r="C19" s="1112" t="e">
        <f>ПрСбытПрП!#REF!</f>
        <v>#REF!</v>
      </c>
      <c r="D19" s="1112" t="e">
        <f>ПрСбытПрП!#REF!</f>
        <v>#REF!</v>
      </c>
      <c r="E19" s="1112" t="e">
        <f>ПрСбытПрП!#REF!</f>
        <v>#REF!</v>
      </c>
      <c r="F19" s="1112" t="e">
        <f>ПрСбытПрП!#REF!</f>
        <v>#REF!</v>
      </c>
      <c r="G19" s="1112" t="e">
        <f>ПрСбытПрП!#REF!</f>
        <v>#REF!</v>
      </c>
      <c r="H19" s="1112" t="e">
        <f>ПрСбытПрП!#REF!</f>
        <v>#REF!</v>
      </c>
      <c r="I19" s="1112" t="e">
        <f>ПрСбытПрП!#REF!</f>
        <v>#REF!</v>
      </c>
      <c r="J19" s="1112" t="e">
        <f>ПрСбытПрП!#REF!</f>
        <v>#REF!</v>
      </c>
      <c r="K19" s="1110"/>
      <c r="L19" s="1110"/>
      <c r="M19" s="1125"/>
    </row>
    <row r="20" spans="1:13" s="26" customFormat="1" ht="12.75" hidden="1">
      <c r="A20" s="1123" t="e">
        <f>ПрСбытПрП!#REF!</f>
        <v>#REF!</v>
      </c>
      <c r="B20" s="1112" t="e">
        <f t="shared" si="1"/>
        <v>#REF!</v>
      </c>
      <c r="C20" s="1112" t="e">
        <f>ПрСбытПрП!#REF!</f>
        <v>#REF!</v>
      </c>
      <c r="D20" s="1112" t="e">
        <f>ПрСбытПрП!#REF!</f>
        <v>#REF!</v>
      </c>
      <c r="E20" s="1112" t="e">
        <f>ПрСбытПрП!#REF!</f>
        <v>#REF!</v>
      </c>
      <c r="F20" s="1112" t="e">
        <f>ПрСбытПрП!#REF!</f>
        <v>#REF!</v>
      </c>
      <c r="G20" s="1112" t="e">
        <f>ПрСбытПрП!#REF!</f>
        <v>#REF!</v>
      </c>
      <c r="H20" s="1112" t="e">
        <f>ПрСбытПрП!#REF!</f>
        <v>#REF!</v>
      </c>
      <c r="I20" s="1112" t="e">
        <f>ПрСбытПрП!#REF!</f>
        <v>#REF!</v>
      </c>
      <c r="J20" s="1112" t="e">
        <f>ПрСбытПрП!#REF!</f>
        <v>#REF!</v>
      </c>
      <c r="K20" s="1110"/>
      <c r="L20" s="1110"/>
      <c r="M20" s="1125"/>
    </row>
    <row r="21" spans="1:13" s="26" customFormat="1" ht="12.75" hidden="1">
      <c r="A21" s="1126" t="e">
        <f>A55</f>
        <v>#REF!</v>
      </c>
      <c r="B21" s="1113" t="e">
        <f>B5*100/$B$4</f>
        <v>#REF!</v>
      </c>
      <c r="C21" s="1113" t="e">
        <f>C5*100/C4</f>
        <v>#REF!</v>
      </c>
      <c r="D21" s="1113" t="e">
        <f>D5*100/$D$4</f>
        <v>#REF!</v>
      </c>
      <c r="E21" s="1113" t="e">
        <f>E5*100/$E$4</f>
        <v>#REF!</v>
      </c>
      <c r="F21" s="1113" t="e">
        <f>F5*100/$F$4</f>
        <v>#REF!</v>
      </c>
      <c r="G21" s="1113" t="e">
        <f>G5*100/$G$4</f>
        <v>#REF!</v>
      </c>
      <c r="H21" s="1113" t="e">
        <f>H5*100/$H$4</f>
        <v>#REF!</v>
      </c>
      <c r="I21" s="1113" t="e">
        <f>I5*100/$I$4</f>
        <v>#REF!</v>
      </c>
      <c r="J21" s="1113" t="e">
        <f>J5*100/$J$4</f>
        <v>#REF!</v>
      </c>
      <c r="K21" s="1113" t="e">
        <f t="shared" ref="K21:M21" si="2">K5*100/$J$4</f>
        <v>#REF!</v>
      </c>
      <c r="L21" s="1113" t="e">
        <f t="shared" si="2"/>
        <v>#REF!</v>
      </c>
      <c r="M21" s="1127" t="e">
        <f t="shared" si="2"/>
        <v>#REF!</v>
      </c>
    </row>
    <row r="22" spans="1:13" s="26" customFormat="1" ht="12.75" hidden="1">
      <c r="A22" s="1126" t="e">
        <f>A56</f>
        <v>#REF!</v>
      </c>
      <c r="B22" s="1113" t="e">
        <f t="shared" ref="B22:B36" si="3">B6*100/$B$4</f>
        <v>#REF!</v>
      </c>
      <c r="C22" s="1113" t="e">
        <f>C6*100/$C$4</f>
        <v>#REF!</v>
      </c>
      <c r="D22" s="1113" t="e">
        <f>D6*100/$D$4</f>
        <v>#REF!</v>
      </c>
      <c r="E22" s="1113" t="e">
        <f>E6*100/$E$4</f>
        <v>#REF!</v>
      </c>
      <c r="F22" s="1113" t="e">
        <f>F6*100/$F$4</f>
        <v>#REF!</v>
      </c>
      <c r="G22" s="1113" t="e">
        <f>G6*100/$G$4</f>
        <v>#REF!</v>
      </c>
      <c r="H22" s="1113" t="e">
        <f>H6*100/$H$4</f>
        <v>#REF!</v>
      </c>
      <c r="I22" s="1113" t="e">
        <f>I6*100/$I$4</f>
        <v>#REF!</v>
      </c>
      <c r="J22" s="1113" t="e">
        <f>J6*100/$J$4</f>
        <v>#REF!</v>
      </c>
      <c r="K22" s="1113" t="e">
        <f t="shared" ref="K22:M22" si="4">K6*100/$J$4</f>
        <v>#REF!</v>
      </c>
      <c r="L22" s="1113" t="e">
        <f t="shared" si="4"/>
        <v>#REF!</v>
      </c>
      <c r="M22" s="1127" t="e">
        <f t="shared" si="4"/>
        <v>#REF!</v>
      </c>
    </row>
    <row r="23" spans="1:13" s="26" customFormat="1" ht="12.75" hidden="1">
      <c r="A23" s="1126" t="e">
        <f>A57</f>
        <v>#REF!</v>
      </c>
      <c r="B23" s="1113" t="e">
        <f t="shared" si="3"/>
        <v>#REF!</v>
      </c>
      <c r="C23" s="1113" t="e">
        <f t="shared" ref="C23:C36" si="5">C7*100/$C$4</f>
        <v>#REF!</v>
      </c>
      <c r="D23" s="1113" t="e">
        <f>D7*100/$D$4</f>
        <v>#REF!</v>
      </c>
      <c r="E23" s="1113" t="e">
        <f>E7*100/$E$4</f>
        <v>#REF!</v>
      </c>
      <c r="F23" s="1113" t="e">
        <f>F7*100/$F$4</f>
        <v>#REF!</v>
      </c>
      <c r="G23" s="1113" t="e">
        <f>G7*100/$G$4</f>
        <v>#REF!</v>
      </c>
      <c r="H23" s="1113" t="e">
        <f>H7*100/$H$4</f>
        <v>#REF!</v>
      </c>
      <c r="I23" s="1113" t="e">
        <f>I7*100/$I$4</f>
        <v>#REF!</v>
      </c>
      <c r="J23" s="1113" t="e">
        <f>J7*100/$J$4</f>
        <v>#REF!</v>
      </c>
      <c r="K23" s="1113" t="e">
        <f t="shared" ref="K23:M23" si="6">K7*100/$J$4</f>
        <v>#REF!</v>
      </c>
      <c r="L23" s="1113" t="e">
        <f t="shared" si="6"/>
        <v>#REF!</v>
      </c>
      <c r="M23" s="1127" t="e">
        <f t="shared" si="6"/>
        <v>#REF!</v>
      </c>
    </row>
    <row r="24" spans="1:13" s="26" customFormat="1" ht="12.75" hidden="1">
      <c r="A24" s="1126" t="str">
        <f>A58</f>
        <v>доля продукции Скамья</v>
      </c>
      <c r="B24" s="1113" t="e">
        <f t="shared" si="3"/>
        <v>#REF!</v>
      </c>
      <c r="C24" s="1113" t="e">
        <f t="shared" si="5"/>
        <v>#REF!</v>
      </c>
      <c r="D24" s="1113" t="e">
        <f>D8*100/$D$4</f>
        <v>#REF!</v>
      </c>
      <c r="E24" s="1113" t="e">
        <f>E8*100/$E$4</f>
        <v>#REF!</v>
      </c>
      <c r="F24" s="1113" t="e">
        <f>F8*100/$F$4</f>
        <v>#REF!</v>
      </c>
      <c r="G24" s="1113" t="e">
        <f>G8*100/$G$4</f>
        <v>#REF!</v>
      </c>
      <c r="H24" s="1113" t="e">
        <f>H8*100/$H$4</f>
        <v>#REF!</v>
      </c>
      <c r="I24" s="1113" t="e">
        <f>I8*100/$I$4</f>
        <v>#REF!</v>
      </c>
      <c r="J24" s="1113" t="e">
        <f>J8*100/$J$4</f>
        <v>#REF!</v>
      </c>
      <c r="K24" s="1110"/>
      <c r="L24" s="1110"/>
      <c r="M24" s="1125"/>
    </row>
    <row r="25" spans="1:13" s="26" customFormat="1" ht="12.75" hidden="1">
      <c r="A25" s="1126" t="str">
        <f t="shared" ref="A25:A36" si="7">A59</f>
        <v>доля продукцииТабуретка</v>
      </c>
      <c r="B25" s="1113" t="e">
        <f t="shared" si="3"/>
        <v>#REF!</v>
      </c>
      <c r="C25" s="1113" t="e">
        <f t="shared" si="5"/>
        <v>#REF!</v>
      </c>
      <c r="D25" s="1113" t="e">
        <f t="shared" ref="D25:D36" si="8">D9*100/$D$4</f>
        <v>#REF!</v>
      </c>
      <c r="E25" s="1113" t="e">
        <f t="shared" ref="E25:E36" si="9">E9*100/$E$4</f>
        <v>#REF!</v>
      </c>
      <c r="F25" s="1113" t="e">
        <f t="shared" ref="F25:F36" si="10">F9*100/$F$4</f>
        <v>#REF!</v>
      </c>
      <c r="G25" s="1113" t="e">
        <f t="shared" ref="G25:G36" si="11">G9*100/$G$4</f>
        <v>#REF!</v>
      </c>
      <c r="H25" s="1113" t="e">
        <f t="shared" ref="H25:H36" si="12">H9*100/$H$4</f>
        <v>#REF!</v>
      </c>
      <c r="I25" s="1113" t="e">
        <f t="shared" ref="I25:I36" si="13">I9*100/$I$4</f>
        <v>#REF!</v>
      </c>
      <c r="J25" s="1113" t="e">
        <f t="shared" ref="J25:J36" si="14">J9*100/$J$4</f>
        <v>#REF!</v>
      </c>
      <c r="K25" s="1110"/>
      <c r="L25" s="1110"/>
      <c r="M25" s="1125"/>
    </row>
    <row r="26" spans="1:13" s="26" customFormat="1" ht="12.75" hidden="1">
      <c r="A26" s="1126" t="str">
        <f t="shared" si="7"/>
        <v>доля продукции Сундук</v>
      </c>
      <c r="B26" s="1113" t="e">
        <f t="shared" si="3"/>
        <v>#REF!</v>
      </c>
      <c r="C26" s="1113" t="e">
        <f t="shared" si="5"/>
        <v>#REF!</v>
      </c>
      <c r="D26" s="1113" t="e">
        <f t="shared" si="8"/>
        <v>#REF!</v>
      </c>
      <c r="E26" s="1113" t="e">
        <f t="shared" si="9"/>
        <v>#REF!</v>
      </c>
      <c r="F26" s="1113" t="e">
        <f t="shared" si="10"/>
        <v>#REF!</v>
      </c>
      <c r="G26" s="1113" t="e">
        <f t="shared" si="11"/>
        <v>#REF!</v>
      </c>
      <c r="H26" s="1113" t="e">
        <f t="shared" si="12"/>
        <v>#REF!</v>
      </c>
      <c r="I26" s="1113" t="e">
        <f t="shared" si="13"/>
        <v>#REF!</v>
      </c>
      <c r="J26" s="1113" t="e">
        <f t="shared" si="14"/>
        <v>#REF!</v>
      </c>
      <c r="K26" s="1110"/>
      <c r="L26" s="1110"/>
      <c r="M26" s="1125"/>
    </row>
    <row r="27" spans="1:13" s="26" customFormat="1" ht="12.75" hidden="1">
      <c r="A27" s="1126" t="str">
        <f t="shared" si="7"/>
        <v>доля продукции Кухонный шкаф</v>
      </c>
      <c r="B27" s="1113" t="e">
        <f t="shared" si="3"/>
        <v>#REF!</v>
      </c>
      <c r="C27" s="1113" t="e">
        <f t="shared" si="5"/>
        <v>#REF!</v>
      </c>
      <c r="D27" s="1113" t="e">
        <f t="shared" si="8"/>
        <v>#REF!</v>
      </c>
      <c r="E27" s="1113" t="e">
        <f t="shared" si="9"/>
        <v>#REF!</v>
      </c>
      <c r="F27" s="1113" t="e">
        <f t="shared" si="10"/>
        <v>#REF!</v>
      </c>
      <c r="G27" s="1113" t="e">
        <f t="shared" si="11"/>
        <v>#REF!</v>
      </c>
      <c r="H27" s="1113" t="e">
        <f t="shared" si="12"/>
        <v>#REF!</v>
      </c>
      <c r="I27" s="1113" t="e">
        <f t="shared" si="13"/>
        <v>#REF!</v>
      </c>
      <c r="J27" s="1113" t="e">
        <f t="shared" si="14"/>
        <v>#REF!</v>
      </c>
      <c r="K27" s="1110"/>
      <c r="L27" s="1110"/>
      <c r="M27" s="1125"/>
    </row>
    <row r="28" spans="1:13" s="26" customFormat="1" ht="12.75" hidden="1">
      <c r="A28" s="1126" t="str">
        <f t="shared" si="7"/>
        <v>доля продукции Кровать двухспальная</v>
      </c>
      <c r="B28" s="1113" t="e">
        <f t="shared" si="3"/>
        <v>#REF!</v>
      </c>
      <c r="C28" s="1113" t="e">
        <f t="shared" si="5"/>
        <v>#REF!</v>
      </c>
      <c r="D28" s="1113" t="e">
        <f t="shared" si="8"/>
        <v>#REF!</v>
      </c>
      <c r="E28" s="1113" t="e">
        <f t="shared" si="9"/>
        <v>#REF!</v>
      </c>
      <c r="F28" s="1113" t="e">
        <f t="shared" si="10"/>
        <v>#REF!</v>
      </c>
      <c r="G28" s="1113" t="e">
        <f t="shared" si="11"/>
        <v>#REF!</v>
      </c>
      <c r="H28" s="1113" t="e">
        <f t="shared" si="12"/>
        <v>#REF!</v>
      </c>
      <c r="I28" s="1113" t="e">
        <f t="shared" si="13"/>
        <v>#REF!</v>
      </c>
      <c r="J28" s="1113" t="e">
        <f t="shared" si="14"/>
        <v>#REF!</v>
      </c>
      <c r="K28" s="1110"/>
      <c r="L28" s="1110"/>
      <c r="M28" s="1125"/>
    </row>
    <row r="29" spans="1:13" s="26" customFormat="1" ht="12.75" hidden="1">
      <c r="A29" s="1126" t="str">
        <f t="shared" si="7"/>
        <v>доля продукции Кровать односпальная</v>
      </c>
      <c r="B29" s="1113" t="e">
        <f t="shared" si="3"/>
        <v>#REF!</v>
      </c>
      <c r="C29" s="1113" t="e">
        <f t="shared" si="5"/>
        <v>#REF!</v>
      </c>
      <c r="D29" s="1113" t="e">
        <f t="shared" si="8"/>
        <v>#REF!</v>
      </c>
      <c r="E29" s="1113" t="e">
        <f t="shared" si="9"/>
        <v>#REF!</v>
      </c>
      <c r="F29" s="1113" t="e">
        <f t="shared" si="10"/>
        <v>#REF!</v>
      </c>
      <c r="G29" s="1113" t="e">
        <f t="shared" si="11"/>
        <v>#REF!</v>
      </c>
      <c r="H29" s="1113" t="e">
        <f t="shared" si="12"/>
        <v>#REF!</v>
      </c>
      <c r="I29" s="1113" t="e">
        <f t="shared" si="13"/>
        <v>#REF!</v>
      </c>
      <c r="J29" s="1113" t="e">
        <f t="shared" si="14"/>
        <v>#REF!</v>
      </c>
      <c r="K29" s="1110"/>
      <c r="L29" s="1110"/>
      <c r="M29" s="1125"/>
    </row>
    <row r="30" spans="1:13" s="26" customFormat="1" ht="12.75" hidden="1">
      <c r="A30" s="1126" t="str">
        <f t="shared" si="7"/>
        <v>доля продукции Наличник дверной простой</v>
      </c>
      <c r="B30" s="1113" t="e">
        <f t="shared" si="3"/>
        <v>#REF!</v>
      </c>
      <c r="C30" s="1113" t="e">
        <f t="shared" si="5"/>
        <v>#REF!</v>
      </c>
      <c r="D30" s="1113" t="e">
        <f t="shared" si="8"/>
        <v>#REF!</v>
      </c>
      <c r="E30" s="1113" t="e">
        <f t="shared" si="9"/>
        <v>#REF!</v>
      </c>
      <c r="F30" s="1113" t="e">
        <f t="shared" si="10"/>
        <v>#REF!</v>
      </c>
      <c r="G30" s="1113" t="e">
        <f t="shared" si="11"/>
        <v>#REF!</v>
      </c>
      <c r="H30" s="1113" t="e">
        <f t="shared" si="12"/>
        <v>#REF!</v>
      </c>
      <c r="I30" s="1113" t="e">
        <f t="shared" si="13"/>
        <v>#REF!</v>
      </c>
      <c r="J30" s="1113" t="e">
        <f t="shared" si="14"/>
        <v>#REF!</v>
      </c>
      <c r="K30" s="1110"/>
      <c r="L30" s="1110"/>
      <c r="M30" s="1125"/>
    </row>
    <row r="31" spans="1:13" s="26" customFormat="1" ht="12.75" hidden="1">
      <c r="A31" s="1126" t="str">
        <f t="shared" si="7"/>
        <v>доля продукции Наличник дверной резной</v>
      </c>
      <c r="B31" s="1113" t="e">
        <f t="shared" si="3"/>
        <v>#REF!</v>
      </c>
      <c r="C31" s="1113" t="e">
        <f t="shared" si="5"/>
        <v>#REF!</v>
      </c>
      <c r="D31" s="1113" t="e">
        <f t="shared" si="8"/>
        <v>#REF!</v>
      </c>
      <c r="E31" s="1113" t="e">
        <f t="shared" si="9"/>
        <v>#REF!</v>
      </c>
      <c r="F31" s="1113" t="e">
        <f t="shared" si="10"/>
        <v>#REF!</v>
      </c>
      <c r="G31" s="1113" t="e">
        <f t="shared" si="11"/>
        <v>#REF!</v>
      </c>
      <c r="H31" s="1113" t="e">
        <f t="shared" si="12"/>
        <v>#REF!</v>
      </c>
      <c r="I31" s="1113" t="e">
        <f t="shared" si="13"/>
        <v>#REF!</v>
      </c>
      <c r="J31" s="1113" t="e">
        <f t="shared" si="14"/>
        <v>#REF!</v>
      </c>
      <c r="K31" s="1110"/>
      <c r="L31" s="1110"/>
      <c r="M31" s="1125"/>
    </row>
    <row r="32" spans="1:13" s="26" customFormat="1" ht="12.75" hidden="1">
      <c r="A32" s="1126" t="str">
        <f t="shared" si="7"/>
        <v>доля продукции Беседка</v>
      </c>
      <c r="B32" s="1113" t="e">
        <f t="shared" si="3"/>
        <v>#REF!</v>
      </c>
      <c r="C32" s="1113" t="e">
        <f t="shared" si="5"/>
        <v>#REF!</v>
      </c>
      <c r="D32" s="1113" t="e">
        <f t="shared" si="8"/>
        <v>#REF!</v>
      </c>
      <c r="E32" s="1113" t="e">
        <f t="shared" si="9"/>
        <v>#REF!</v>
      </c>
      <c r="F32" s="1113" t="e">
        <f t="shared" si="10"/>
        <v>#REF!</v>
      </c>
      <c r="G32" s="1113" t="e">
        <f t="shared" si="11"/>
        <v>#REF!</v>
      </c>
      <c r="H32" s="1113" t="e">
        <f t="shared" si="12"/>
        <v>#REF!</v>
      </c>
      <c r="I32" s="1113" t="e">
        <f t="shared" si="13"/>
        <v>#REF!</v>
      </c>
      <c r="J32" s="1113" t="e">
        <f t="shared" si="14"/>
        <v>#REF!</v>
      </c>
      <c r="K32" s="1110"/>
      <c r="L32" s="1110"/>
      <c r="M32" s="1125"/>
    </row>
    <row r="33" spans="1:13" s="26" customFormat="1" ht="12.75" hidden="1">
      <c r="A33" s="1126" t="str">
        <f t="shared" si="7"/>
        <v>доля продукции Плинтус</v>
      </c>
      <c r="B33" s="1113" t="e">
        <f t="shared" si="3"/>
        <v>#REF!</v>
      </c>
      <c r="C33" s="1113" t="e">
        <f t="shared" si="5"/>
        <v>#REF!</v>
      </c>
      <c r="D33" s="1113" t="e">
        <f t="shared" si="8"/>
        <v>#REF!</v>
      </c>
      <c r="E33" s="1113" t="e">
        <f t="shared" si="9"/>
        <v>#REF!</v>
      </c>
      <c r="F33" s="1113" t="e">
        <f t="shared" si="10"/>
        <v>#REF!</v>
      </c>
      <c r="G33" s="1113" t="e">
        <f t="shared" si="11"/>
        <v>#REF!</v>
      </c>
      <c r="H33" s="1113" t="e">
        <f t="shared" si="12"/>
        <v>#REF!</v>
      </c>
      <c r="I33" s="1113" t="e">
        <f t="shared" si="13"/>
        <v>#REF!</v>
      </c>
      <c r="J33" s="1113" t="e">
        <f t="shared" si="14"/>
        <v>#REF!</v>
      </c>
      <c r="K33" s="1110"/>
      <c r="L33" s="1110"/>
      <c r="M33" s="1125"/>
    </row>
    <row r="34" spans="1:13" s="26" customFormat="1" ht="12.75" hidden="1">
      <c r="A34" s="1126" t="str">
        <f t="shared" si="7"/>
        <v>доля продукции Наличник оконный простой</v>
      </c>
      <c r="B34" s="1113" t="e">
        <f t="shared" si="3"/>
        <v>#REF!</v>
      </c>
      <c r="C34" s="1113" t="e">
        <f t="shared" si="5"/>
        <v>#REF!</v>
      </c>
      <c r="D34" s="1113" t="e">
        <f t="shared" si="8"/>
        <v>#REF!</v>
      </c>
      <c r="E34" s="1113" t="e">
        <f t="shared" si="9"/>
        <v>#REF!</v>
      </c>
      <c r="F34" s="1113" t="e">
        <f t="shared" si="10"/>
        <v>#REF!</v>
      </c>
      <c r="G34" s="1113" t="e">
        <f t="shared" si="11"/>
        <v>#REF!</v>
      </c>
      <c r="H34" s="1113" t="e">
        <f t="shared" si="12"/>
        <v>#REF!</v>
      </c>
      <c r="I34" s="1113" t="e">
        <f t="shared" si="13"/>
        <v>#REF!</v>
      </c>
      <c r="J34" s="1113" t="e">
        <f t="shared" si="14"/>
        <v>#REF!</v>
      </c>
      <c r="K34" s="1110"/>
      <c r="L34" s="1110"/>
      <c r="M34" s="1125"/>
    </row>
    <row r="35" spans="1:13" s="26" customFormat="1" ht="12.75" hidden="1">
      <c r="A35" s="1126" t="str">
        <f t="shared" si="7"/>
        <v>доля продукции Наличник оконный резной</v>
      </c>
      <c r="B35" s="1113" t="e">
        <f t="shared" si="3"/>
        <v>#REF!</v>
      </c>
      <c r="C35" s="1113" t="e">
        <f t="shared" si="5"/>
        <v>#REF!</v>
      </c>
      <c r="D35" s="1113" t="e">
        <f t="shared" si="8"/>
        <v>#REF!</v>
      </c>
      <c r="E35" s="1113" t="e">
        <f t="shared" si="9"/>
        <v>#REF!</v>
      </c>
      <c r="F35" s="1113" t="e">
        <f t="shared" si="10"/>
        <v>#REF!</v>
      </c>
      <c r="G35" s="1113" t="e">
        <f t="shared" si="11"/>
        <v>#REF!</v>
      </c>
      <c r="H35" s="1113" t="e">
        <f t="shared" si="12"/>
        <v>#REF!</v>
      </c>
      <c r="I35" s="1113" t="e">
        <f t="shared" si="13"/>
        <v>#REF!</v>
      </c>
      <c r="J35" s="1113" t="e">
        <f t="shared" si="14"/>
        <v>#REF!</v>
      </c>
      <c r="K35" s="1110"/>
      <c r="L35" s="1110"/>
      <c r="M35" s="1125"/>
    </row>
    <row r="36" spans="1:13" s="26" customFormat="1" ht="12.75" hidden="1">
      <c r="A36" s="1126" t="str">
        <f t="shared" si="7"/>
        <v>доля продукции Балясина</v>
      </c>
      <c r="B36" s="1113" t="e">
        <f t="shared" si="3"/>
        <v>#REF!</v>
      </c>
      <c r="C36" s="1113" t="e">
        <f t="shared" si="5"/>
        <v>#REF!</v>
      </c>
      <c r="D36" s="1113" t="e">
        <f t="shared" si="8"/>
        <v>#REF!</v>
      </c>
      <c r="E36" s="1113" t="e">
        <f t="shared" si="9"/>
        <v>#REF!</v>
      </c>
      <c r="F36" s="1113" t="e">
        <f t="shared" si="10"/>
        <v>#REF!</v>
      </c>
      <c r="G36" s="1113" t="e">
        <f t="shared" si="11"/>
        <v>#REF!</v>
      </c>
      <c r="H36" s="1113" t="e">
        <f t="shared" si="12"/>
        <v>#REF!</v>
      </c>
      <c r="I36" s="1113" t="e">
        <f t="shared" si="13"/>
        <v>#REF!</v>
      </c>
      <c r="J36" s="1113" t="e">
        <f t="shared" si="14"/>
        <v>#REF!</v>
      </c>
      <c r="K36" s="1110"/>
      <c r="L36" s="1110"/>
      <c r="M36" s="1125"/>
    </row>
    <row r="37" spans="1:13" s="27" customFormat="1" ht="14.25">
      <c r="A37" s="1121" t="s">
        <v>106</v>
      </c>
      <c r="B37" s="1116" t="e">
        <f t="shared" ref="B37:B70" si="15">SUM(C37:F37)</f>
        <v>#REF!</v>
      </c>
      <c r="C37" s="1116" t="e">
        <f>ТРП!#REF!</f>
        <v>#REF!</v>
      </c>
      <c r="D37" s="1116" t="e">
        <f>ТРП!#REF!</f>
        <v>#REF!</v>
      </c>
      <c r="E37" s="1116" t="e">
        <f>ТРП!#REF!</f>
        <v>#REF!</v>
      </c>
      <c r="F37" s="1116" t="e">
        <f>ТРП!#REF!</f>
        <v>#REF!</v>
      </c>
      <c r="G37" s="1117" t="e">
        <f>ТРП!#REF!</f>
        <v>#REF!</v>
      </c>
      <c r="H37" s="1117" t="e">
        <f>ТРП!#REF!</f>
        <v>#REF!</v>
      </c>
      <c r="I37" s="1117" t="e">
        <f>ТРП!#REF!</f>
        <v>#REF!</v>
      </c>
      <c r="J37" s="1117" t="e">
        <f>ТРП!#REF!</f>
        <v>#REF!</v>
      </c>
      <c r="K37" s="1117" t="e">
        <f>ТРП!#REF!</f>
        <v>#REF!</v>
      </c>
      <c r="L37" s="1117" t="e">
        <f>ТРП!#REF!</f>
        <v>#REF!</v>
      </c>
      <c r="M37" s="1122" t="e">
        <f>ТРП!#REF!</f>
        <v>#REF!</v>
      </c>
    </row>
    <row r="38" spans="1:13" s="26" customFormat="1" ht="12.75">
      <c r="A38" s="1123" t="e">
        <f>ТРП!#REF!</f>
        <v>#REF!</v>
      </c>
      <c r="B38" s="1118" t="e">
        <f t="shared" si="15"/>
        <v>#REF!</v>
      </c>
      <c r="C38" s="1118" t="e">
        <f>ТРП!#REF!</f>
        <v>#REF!</v>
      </c>
      <c r="D38" s="1118" t="e">
        <f>ТРП!#REF!</f>
        <v>#REF!</v>
      </c>
      <c r="E38" s="1118" t="e">
        <f>ТРП!#REF!</f>
        <v>#REF!</v>
      </c>
      <c r="F38" s="1118" t="e">
        <f>ТРП!#REF!</f>
        <v>#REF!</v>
      </c>
      <c r="G38" s="1119" t="e">
        <f>ТРП!#REF!</f>
        <v>#REF!</v>
      </c>
      <c r="H38" s="1119" t="e">
        <f>ТРП!#REF!</f>
        <v>#REF!</v>
      </c>
      <c r="I38" s="1119" t="e">
        <f>ТРП!#REF!</f>
        <v>#REF!</v>
      </c>
      <c r="J38" s="1119" t="e">
        <f>ТРП!#REF!</f>
        <v>#REF!</v>
      </c>
      <c r="K38" s="1119" t="e">
        <f>ТРП!#REF!</f>
        <v>#REF!</v>
      </c>
      <c r="L38" s="1119" t="e">
        <f>ТРП!#REF!</f>
        <v>#REF!</v>
      </c>
      <c r="M38" s="1124" t="e">
        <f>ТРП!#REF!</f>
        <v>#REF!</v>
      </c>
    </row>
    <row r="39" spans="1:13" s="26" customFormat="1" ht="12.75">
      <c r="A39" s="1123" t="e">
        <f>ТРП!#REF!</f>
        <v>#REF!</v>
      </c>
      <c r="B39" s="1118" t="e">
        <f t="shared" si="15"/>
        <v>#REF!</v>
      </c>
      <c r="C39" s="1118" t="e">
        <f>ТРП!#REF!</f>
        <v>#REF!</v>
      </c>
      <c r="D39" s="1118" t="e">
        <f>ТРП!#REF!</f>
        <v>#REF!</v>
      </c>
      <c r="E39" s="1118" t="e">
        <f>ТРП!#REF!</f>
        <v>#REF!</v>
      </c>
      <c r="F39" s="1118" t="e">
        <f>ТРП!#REF!</f>
        <v>#REF!</v>
      </c>
      <c r="G39" s="1119" t="e">
        <f>ТРП!#REF!</f>
        <v>#REF!</v>
      </c>
      <c r="H39" s="1119" t="e">
        <f>ТРП!#REF!</f>
        <v>#REF!</v>
      </c>
      <c r="I39" s="1119" t="e">
        <f>ТРП!#REF!</f>
        <v>#REF!</v>
      </c>
      <c r="J39" s="1119" t="e">
        <f>ТРП!#REF!</f>
        <v>#REF!</v>
      </c>
      <c r="K39" s="1119" t="e">
        <f>ТРП!#REF!</f>
        <v>#REF!</v>
      </c>
      <c r="L39" s="1119" t="e">
        <f>ТРП!#REF!</f>
        <v>#REF!</v>
      </c>
      <c r="M39" s="1124" t="e">
        <f>ТРП!#REF!</f>
        <v>#REF!</v>
      </c>
    </row>
    <row r="40" spans="1:13" s="26" customFormat="1" ht="12.75">
      <c r="A40" s="1123" t="e">
        <f>ТРП!#REF!</f>
        <v>#REF!</v>
      </c>
      <c r="B40" s="1118" t="e">
        <f t="shared" si="15"/>
        <v>#REF!</v>
      </c>
      <c r="C40" s="1118" t="e">
        <f>ТРП!#REF!</f>
        <v>#REF!</v>
      </c>
      <c r="D40" s="1118" t="e">
        <f>ТРП!#REF!</f>
        <v>#REF!</v>
      </c>
      <c r="E40" s="1118" t="e">
        <f>ТРП!#REF!</f>
        <v>#REF!</v>
      </c>
      <c r="F40" s="1118" t="e">
        <f>ТРП!#REF!</f>
        <v>#REF!</v>
      </c>
      <c r="G40" s="1119" t="e">
        <f>ТРП!#REF!</f>
        <v>#REF!</v>
      </c>
      <c r="H40" s="1119" t="e">
        <f>ТРП!#REF!</f>
        <v>#REF!</v>
      </c>
      <c r="I40" s="1119" t="e">
        <f>ТРП!#REF!</f>
        <v>#REF!</v>
      </c>
      <c r="J40" s="1119" t="e">
        <f>ТРП!#REF!</f>
        <v>#REF!</v>
      </c>
      <c r="K40" s="1119" t="e">
        <f>ТРП!#REF!</f>
        <v>#REF!</v>
      </c>
      <c r="L40" s="1119" t="e">
        <f>ТРП!#REF!</f>
        <v>#REF!</v>
      </c>
      <c r="M40" s="1124" t="e">
        <f>ТРП!#REF!</f>
        <v>#REF!</v>
      </c>
    </row>
    <row r="41" spans="1:13" s="26" customFormat="1" ht="12.75" hidden="1">
      <c r="A41" s="1123" t="e">
        <f>ТРП!#REF!</f>
        <v>#REF!</v>
      </c>
      <c r="B41" s="1118" t="e">
        <f t="shared" si="15"/>
        <v>#REF!</v>
      </c>
      <c r="C41" s="1118" t="e">
        <f>ТРП!#REF!</f>
        <v>#REF!</v>
      </c>
      <c r="D41" s="1118" t="e">
        <f>ТРП!#REF!</f>
        <v>#REF!</v>
      </c>
      <c r="E41" s="1118" t="e">
        <f>ТРП!#REF!</f>
        <v>#REF!</v>
      </c>
      <c r="F41" s="1118" t="e">
        <f>ТРП!#REF!</f>
        <v>#REF!</v>
      </c>
      <c r="G41" s="1118" t="e">
        <f>ТРП!#REF!</f>
        <v>#REF!</v>
      </c>
      <c r="H41" s="1118" t="e">
        <f>ТРП!#REF!</f>
        <v>#REF!</v>
      </c>
      <c r="I41" s="1118" t="e">
        <f>ТРП!#REF!</f>
        <v>#REF!</v>
      </c>
      <c r="J41" s="1118" t="e">
        <f>ТРП!#REF!</f>
        <v>#REF!</v>
      </c>
      <c r="K41" s="1118" t="e">
        <f>ТРП!#REF!</f>
        <v>#REF!</v>
      </c>
      <c r="L41" s="1118" t="e">
        <f>ТРП!#REF!</f>
        <v>#REF!</v>
      </c>
      <c r="M41" s="1128" t="e">
        <f>ТРП!#REF!</f>
        <v>#REF!</v>
      </c>
    </row>
    <row r="42" spans="1:13" s="26" customFormat="1" ht="12.75" hidden="1">
      <c r="A42" s="1123" t="e">
        <f>ТРП!#REF!</f>
        <v>#REF!</v>
      </c>
      <c r="B42" s="1118" t="e">
        <f t="shared" si="15"/>
        <v>#REF!</v>
      </c>
      <c r="C42" s="1118" t="e">
        <f>ТРП!#REF!</f>
        <v>#REF!</v>
      </c>
      <c r="D42" s="1118" t="e">
        <f>ТРП!#REF!</f>
        <v>#REF!</v>
      </c>
      <c r="E42" s="1118" t="e">
        <f>ТРП!#REF!</f>
        <v>#REF!</v>
      </c>
      <c r="F42" s="1118" t="e">
        <f>ТРП!#REF!</f>
        <v>#REF!</v>
      </c>
      <c r="G42" s="1118" t="e">
        <f>ТРП!#REF!</f>
        <v>#REF!</v>
      </c>
      <c r="H42" s="1118" t="e">
        <f>ТРП!#REF!</f>
        <v>#REF!</v>
      </c>
      <c r="I42" s="1118" t="e">
        <f>ТРП!#REF!</f>
        <v>#REF!</v>
      </c>
      <c r="J42" s="1118" t="e">
        <f>ТРП!#REF!</f>
        <v>#REF!</v>
      </c>
      <c r="K42" s="1118" t="e">
        <f>ТРП!#REF!</f>
        <v>#REF!</v>
      </c>
      <c r="L42" s="1118" t="e">
        <f>ТРП!#REF!</f>
        <v>#REF!</v>
      </c>
      <c r="M42" s="1128" t="e">
        <f>ТРП!#REF!</f>
        <v>#REF!</v>
      </c>
    </row>
    <row r="43" spans="1:13" s="26" customFormat="1" ht="12.75" hidden="1">
      <c r="A43" s="1123" t="e">
        <f>ТРП!#REF!</f>
        <v>#REF!</v>
      </c>
      <c r="B43" s="1118" t="e">
        <f t="shared" si="15"/>
        <v>#REF!</v>
      </c>
      <c r="C43" s="1118" t="e">
        <f>ТРП!#REF!</f>
        <v>#REF!</v>
      </c>
      <c r="D43" s="1118" t="e">
        <f>ТРП!#REF!</f>
        <v>#REF!</v>
      </c>
      <c r="E43" s="1118" t="e">
        <f>ТРП!#REF!</f>
        <v>#REF!</v>
      </c>
      <c r="F43" s="1118" t="e">
        <f>ТРП!#REF!</f>
        <v>#REF!</v>
      </c>
      <c r="G43" s="1118" t="e">
        <f>ТРП!#REF!</f>
        <v>#REF!</v>
      </c>
      <c r="H43" s="1118" t="e">
        <f>ТРП!#REF!</f>
        <v>#REF!</v>
      </c>
      <c r="I43" s="1118" t="e">
        <f>ТРП!#REF!</f>
        <v>#REF!</v>
      </c>
      <c r="J43" s="1118" t="e">
        <f>ТРП!#REF!</f>
        <v>#REF!</v>
      </c>
      <c r="K43" s="1118" t="e">
        <f>ТРП!#REF!</f>
        <v>#REF!</v>
      </c>
      <c r="L43" s="1118" t="e">
        <f>ТРП!#REF!</f>
        <v>#REF!</v>
      </c>
      <c r="M43" s="1128" t="e">
        <f>ТРП!#REF!</f>
        <v>#REF!</v>
      </c>
    </row>
    <row r="44" spans="1:13" s="26" customFormat="1" ht="12.75" hidden="1">
      <c r="A44" s="1123" t="e">
        <f>ТРП!#REF!</f>
        <v>#REF!</v>
      </c>
      <c r="B44" s="1118" t="e">
        <f t="shared" si="15"/>
        <v>#REF!</v>
      </c>
      <c r="C44" s="1118" t="e">
        <f>ТРП!#REF!</f>
        <v>#REF!</v>
      </c>
      <c r="D44" s="1118" t="e">
        <f>ТРП!#REF!</f>
        <v>#REF!</v>
      </c>
      <c r="E44" s="1118" t="e">
        <f>ТРП!#REF!</f>
        <v>#REF!</v>
      </c>
      <c r="F44" s="1118" t="e">
        <f>ТРП!#REF!</f>
        <v>#REF!</v>
      </c>
      <c r="G44" s="1118" t="e">
        <f>ТРП!#REF!</f>
        <v>#REF!</v>
      </c>
      <c r="H44" s="1118" t="e">
        <f>ТРП!#REF!</f>
        <v>#REF!</v>
      </c>
      <c r="I44" s="1118" t="e">
        <f>ТРП!#REF!</f>
        <v>#REF!</v>
      </c>
      <c r="J44" s="1118" t="e">
        <f>ТРП!#REF!</f>
        <v>#REF!</v>
      </c>
      <c r="K44" s="1118" t="e">
        <f>ТРП!#REF!</f>
        <v>#REF!</v>
      </c>
      <c r="L44" s="1118" t="e">
        <f>ТРП!#REF!</f>
        <v>#REF!</v>
      </c>
      <c r="M44" s="1128" t="e">
        <f>ТРП!#REF!</f>
        <v>#REF!</v>
      </c>
    </row>
    <row r="45" spans="1:13" s="26" customFormat="1" ht="12.75" hidden="1">
      <c r="A45" s="1123" t="e">
        <f>ТРП!#REF!</f>
        <v>#REF!</v>
      </c>
      <c r="B45" s="1118" t="e">
        <f t="shared" si="15"/>
        <v>#REF!</v>
      </c>
      <c r="C45" s="1118" t="e">
        <f>ТРП!#REF!</f>
        <v>#REF!</v>
      </c>
      <c r="D45" s="1118" t="e">
        <f>ТРП!#REF!</f>
        <v>#REF!</v>
      </c>
      <c r="E45" s="1118" t="e">
        <f>ТРП!#REF!</f>
        <v>#REF!</v>
      </c>
      <c r="F45" s="1118" t="e">
        <f>ТРП!#REF!</f>
        <v>#REF!</v>
      </c>
      <c r="G45" s="1118" t="e">
        <f>ТРП!#REF!</f>
        <v>#REF!</v>
      </c>
      <c r="H45" s="1118" t="e">
        <f>ТРП!#REF!</f>
        <v>#REF!</v>
      </c>
      <c r="I45" s="1118" t="e">
        <f>ТРП!#REF!</f>
        <v>#REF!</v>
      </c>
      <c r="J45" s="1118" t="e">
        <f>ТРП!#REF!</f>
        <v>#REF!</v>
      </c>
      <c r="K45" s="1118" t="e">
        <f>ТРП!#REF!</f>
        <v>#REF!</v>
      </c>
      <c r="L45" s="1118" t="e">
        <f>ТРП!#REF!</f>
        <v>#REF!</v>
      </c>
      <c r="M45" s="1128" t="e">
        <f>ТРП!#REF!</f>
        <v>#REF!</v>
      </c>
    </row>
    <row r="46" spans="1:13" s="26" customFormat="1" ht="12.75" hidden="1">
      <c r="A46" s="1123" t="e">
        <f>ТРП!#REF!</f>
        <v>#REF!</v>
      </c>
      <c r="B46" s="1118" t="e">
        <f t="shared" si="15"/>
        <v>#REF!</v>
      </c>
      <c r="C46" s="1118" t="e">
        <f>ТРП!#REF!</f>
        <v>#REF!</v>
      </c>
      <c r="D46" s="1118" t="e">
        <f>ТРП!#REF!</f>
        <v>#REF!</v>
      </c>
      <c r="E46" s="1118" t="e">
        <f>ТРП!#REF!</f>
        <v>#REF!</v>
      </c>
      <c r="F46" s="1118" t="e">
        <f>ТРП!#REF!</f>
        <v>#REF!</v>
      </c>
      <c r="G46" s="1118" t="e">
        <f>ТРП!#REF!</f>
        <v>#REF!</v>
      </c>
      <c r="H46" s="1118" t="e">
        <f>ТРП!#REF!</f>
        <v>#REF!</v>
      </c>
      <c r="I46" s="1118" t="e">
        <f>ТРП!#REF!</f>
        <v>#REF!</v>
      </c>
      <c r="J46" s="1118" t="e">
        <f>ТРП!#REF!</f>
        <v>#REF!</v>
      </c>
      <c r="K46" s="1118" t="e">
        <f>ТРП!#REF!</f>
        <v>#REF!</v>
      </c>
      <c r="L46" s="1118" t="e">
        <f>ТРП!#REF!</f>
        <v>#REF!</v>
      </c>
      <c r="M46" s="1128" t="e">
        <f>ТРП!#REF!</f>
        <v>#REF!</v>
      </c>
    </row>
    <row r="47" spans="1:13" s="26" customFormat="1" ht="12.75" hidden="1">
      <c r="A47" s="1123" t="e">
        <f>ТРП!#REF!</f>
        <v>#REF!</v>
      </c>
      <c r="B47" s="1118" t="e">
        <f t="shared" si="15"/>
        <v>#REF!</v>
      </c>
      <c r="C47" s="1118" t="e">
        <f>ТРП!#REF!</f>
        <v>#REF!</v>
      </c>
      <c r="D47" s="1118" t="e">
        <f>ТРП!#REF!</f>
        <v>#REF!</v>
      </c>
      <c r="E47" s="1118" t="e">
        <f>ТРП!#REF!</f>
        <v>#REF!</v>
      </c>
      <c r="F47" s="1118" t="e">
        <f>ТРП!#REF!</f>
        <v>#REF!</v>
      </c>
      <c r="G47" s="1118" t="e">
        <f>ТРП!#REF!</f>
        <v>#REF!</v>
      </c>
      <c r="H47" s="1118" t="e">
        <f>ТРП!#REF!</f>
        <v>#REF!</v>
      </c>
      <c r="I47" s="1118" t="e">
        <f>ТРП!#REF!</f>
        <v>#REF!</v>
      </c>
      <c r="J47" s="1118" t="e">
        <f>ТРП!#REF!</f>
        <v>#REF!</v>
      </c>
      <c r="K47" s="1118" t="e">
        <f>ТРП!#REF!</f>
        <v>#REF!</v>
      </c>
      <c r="L47" s="1118" t="e">
        <f>ТРП!#REF!</f>
        <v>#REF!</v>
      </c>
      <c r="M47" s="1128" t="e">
        <f>ТРП!#REF!</f>
        <v>#REF!</v>
      </c>
    </row>
    <row r="48" spans="1:13" s="26" customFormat="1" ht="12.75" hidden="1">
      <c r="A48" s="1123" t="e">
        <f>ТРП!#REF!</f>
        <v>#REF!</v>
      </c>
      <c r="B48" s="1118" t="e">
        <f t="shared" si="15"/>
        <v>#REF!</v>
      </c>
      <c r="C48" s="1118" t="e">
        <f>ТРП!#REF!</f>
        <v>#REF!</v>
      </c>
      <c r="D48" s="1118" t="e">
        <f>ТРП!#REF!</f>
        <v>#REF!</v>
      </c>
      <c r="E48" s="1118" t="e">
        <f>ТРП!#REF!</f>
        <v>#REF!</v>
      </c>
      <c r="F48" s="1118" t="e">
        <f>ТРП!#REF!</f>
        <v>#REF!</v>
      </c>
      <c r="G48" s="1118" t="e">
        <f>ТРП!#REF!</f>
        <v>#REF!</v>
      </c>
      <c r="H48" s="1118" t="e">
        <f>ТРП!#REF!</f>
        <v>#REF!</v>
      </c>
      <c r="I48" s="1118" t="e">
        <f>ТРП!#REF!</f>
        <v>#REF!</v>
      </c>
      <c r="J48" s="1118" t="e">
        <f>ТРП!#REF!</f>
        <v>#REF!</v>
      </c>
      <c r="K48" s="1118" t="e">
        <f>ТРП!#REF!</f>
        <v>#REF!</v>
      </c>
      <c r="L48" s="1118" t="e">
        <f>ТРП!#REF!</f>
        <v>#REF!</v>
      </c>
      <c r="M48" s="1128" t="e">
        <f>ТРП!#REF!</f>
        <v>#REF!</v>
      </c>
    </row>
    <row r="49" spans="1:13" s="26" customFormat="1" ht="12.75" hidden="1">
      <c r="A49" s="1123" t="e">
        <f>ТРП!#REF!</f>
        <v>#REF!</v>
      </c>
      <c r="B49" s="1118" t="e">
        <f t="shared" si="15"/>
        <v>#REF!</v>
      </c>
      <c r="C49" s="1118" t="e">
        <f>ТРП!#REF!</f>
        <v>#REF!</v>
      </c>
      <c r="D49" s="1118" t="e">
        <f>ТРП!#REF!</f>
        <v>#REF!</v>
      </c>
      <c r="E49" s="1118" t="e">
        <f>ТРП!#REF!</f>
        <v>#REF!</v>
      </c>
      <c r="F49" s="1118" t="e">
        <f>ТРП!#REF!</f>
        <v>#REF!</v>
      </c>
      <c r="G49" s="1118" t="e">
        <f>ТРП!#REF!</f>
        <v>#REF!</v>
      </c>
      <c r="H49" s="1118" t="e">
        <f>ТРП!#REF!</f>
        <v>#REF!</v>
      </c>
      <c r="I49" s="1118" t="e">
        <f>ТРП!#REF!</f>
        <v>#REF!</v>
      </c>
      <c r="J49" s="1118" t="e">
        <f>ТРП!#REF!</f>
        <v>#REF!</v>
      </c>
      <c r="K49" s="1118" t="e">
        <f>ТРП!#REF!</f>
        <v>#REF!</v>
      </c>
      <c r="L49" s="1118" t="e">
        <f>ТРП!#REF!</f>
        <v>#REF!</v>
      </c>
      <c r="M49" s="1128" t="e">
        <f>ТРП!#REF!</f>
        <v>#REF!</v>
      </c>
    </row>
    <row r="50" spans="1:13" s="26" customFormat="1" ht="12.75" hidden="1">
      <c r="A50" s="1123" t="e">
        <f>ТРП!#REF!</f>
        <v>#REF!</v>
      </c>
      <c r="B50" s="1118" t="e">
        <f t="shared" si="15"/>
        <v>#REF!</v>
      </c>
      <c r="C50" s="1118" t="e">
        <f>ТРП!#REF!</f>
        <v>#REF!</v>
      </c>
      <c r="D50" s="1118" t="e">
        <f>ТРП!#REF!</f>
        <v>#REF!</v>
      </c>
      <c r="E50" s="1118" t="e">
        <f>ТРП!#REF!</f>
        <v>#REF!</v>
      </c>
      <c r="F50" s="1118" t="e">
        <f>ТРП!#REF!</f>
        <v>#REF!</v>
      </c>
      <c r="G50" s="1118" t="e">
        <f>ТРП!#REF!</f>
        <v>#REF!</v>
      </c>
      <c r="H50" s="1118" t="e">
        <f>ТРП!#REF!</f>
        <v>#REF!</v>
      </c>
      <c r="I50" s="1118" t="e">
        <f>ТРП!#REF!</f>
        <v>#REF!</v>
      </c>
      <c r="J50" s="1118" t="e">
        <f>ТРП!#REF!</f>
        <v>#REF!</v>
      </c>
      <c r="K50" s="1118" t="e">
        <f>ТРП!#REF!</f>
        <v>#REF!</v>
      </c>
      <c r="L50" s="1118" t="e">
        <f>ТРП!#REF!</f>
        <v>#REF!</v>
      </c>
      <c r="M50" s="1128" t="e">
        <f>ТРП!#REF!</f>
        <v>#REF!</v>
      </c>
    </row>
    <row r="51" spans="1:13" s="26" customFormat="1" ht="12.75" hidden="1">
      <c r="A51" s="1123" t="e">
        <f>ТРП!#REF!</f>
        <v>#REF!</v>
      </c>
      <c r="B51" s="1118" t="e">
        <f t="shared" si="15"/>
        <v>#REF!</v>
      </c>
      <c r="C51" s="1118" t="e">
        <f>ТРП!#REF!</f>
        <v>#REF!</v>
      </c>
      <c r="D51" s="1118" t="e">
        <f>ТРП!#REF!</f>
        <v>#REF!</v>
      </c>
      <c r="E51" s="1118" t="e">
        <f>ТРП!#REF!</f>
        <v>#REF!</v>
      </c>
      <c r="F51" s="1118" t="e">
        <f>ТРП!#REF!</f>
        <v>#REF!</v>
      </c>
      <c r="G51" s="1118" t="e">
        <f>ТРП!#REF!</f>
        <v>#REF!</v>
      </c>
      <c r="H51" s="1118" t="e">
        <f>ТРП!#REF!</f>
        <v>#REF!</v>
      </c>
      <c r="I51" s="1118" t="e">
        <f>ТРП!#REF!</f>
        <v>#REF!</v>
      </c>
      <c r="J51" s="1118" t="e">
        <f>ТРП!#REF!</f>
        <v>#REF!</v>
      </c>
      <c r="K51" s="1118" t="e">
        <f>ТРП!#REF!</f>
        <v>#REF!</v>
      </c>
      <c r="L51" s="1118" t="e">
        <f>ТРП!#REF!</f>
        <v>#REF!</v>
      </c>
      <c r="M51" s="1128" t="e">
        <f>ТРП!#REF!</f>
        <v>#REF!</v>
      </c>
    </row>
    <row r="52" spans="1:13" s="26" customFormat="1" ht="12.75" hidden="1">
      <c r="A52" s="1123" t="e">
        <f>ТРП!#REF!</f>
        <v>#REF!</v>
      </c>
      <c r="B52" s="1118" t="e">
        <f t="shared" si="15"/>
        <v>#REF!</v>
      </c>
      <c r="C52" s="1118" t="e">
        <f>ТРП!#REF!</f>
        <v>#REF!</v>
      </c>
      <c r="D52" s="1118" t="e">
        <f>ТРП!#REF!</f>
        <v>#REF!</v>
      </c>
      <c r="E52" s="1118" t="e">
        <f>ТРП!#REF!</f>
        <v>#REF!</v>
      </c>
      <c r="F52" s="1118" t="e">
        <f>ТРП!#REF!</f>
        <v>#REF!</v>
      </c>
      <c r="G52" s="1118" t="e">
        <f>ТРП!#REF!</f>
        <v>#REF!</v>
      </c>
      <c r="H52" s="1118" t="e">
        <f>ТРП!#REF!</f>
        <v>#REF!</v>
      </c>
      <c r="I52" s="1118" t="e">
        <f>ТРП!#REF!</f>
        <v>#REF!</v>
      </c>
      <c r="J52" s="1118" t="e">
        <f>ТРП!#REF!</f>
        <v>#REF!</v>
      </c>
      <c r="K52" s="1118" t="e">
        <f>ТРП!#REF!</f>
        <v>#REF!</v>
      </c>
      <c r="L52" s="1118" t="e">
        <f>ТРП!#REF!</f>
        <v>#REF!</v>
      </c>
      <c r="M52" s="1128" t="e">
        <f>ТРП!#REF!</f>
        <v>#REF!</v>
      </c>
    </row>
    <row r="53" spans="1:13" s="26" customFormat="1" ht="12.75" hidden="1">
      <c r="A53" s="1123" t="e">
        <f>ТРП!#REF!</f>
        <v>#REF!</v>
      </c>
      <c r="B53" s="1118" t="e">
        <f t="shared" si="15"/>
        <v>#REF!</v>
      </c>
      <c r="C53" s="1118" t="e">
        <f>ТРП!#REF!</f>
        <v>#REF!</v>
      </c>
      <c r="D53" s="1118" t="e">
        <f>ТРП!#REF!</f>
        <v>#REF!</v>
      </c>
      <c r="E53" s="1118" t="e">
        <f>ТРП!#REF!</f>
        <v>#REF!</v>
      </c>
      <c r="F53" s="1118" t="e">
        <f>ТРП!#REF!</f>
        <v>#REF!</v>
      </c>
      <c r="G53" s="1118" t="e">
        <f>ТРП!#REF!</f>
        <v>#REF!</v>
      </c>
      <c r="H53" s="1118" t="e">
        <f>ТРП!#REF!</f>
        <v>#REF!</v>
      </c>
      <c r="I53" s="1118" t="e">
        <f>ТРП!#REF!</f>
        <v>#REF!</v>
      </c>
      <c r="J53" s="1118" t="e">
        <f>ТРП!#REF!</f>
        <v>#REF!</v>
      </c>
      <c r="K53" s="1118" t="e">
        <f>ТРП!#REF!</f>
        <v>#REF!</v>
      </c>
      <c r="L53" s="1118" t="e">
        <f>ТРП!#REF!</f>
        <v>#REF!</v>
      </c>
      <c r="M53" s="1128" t="e">
        <f>ТРП!#REF!</f>
        <v>#REF!</v>
      </c>
    </row>
    <row r="54" spans="1:13" s="27" customFormat="1" ht="14.25">
      <c r="A54" s="1121" t="s">
        <v>107</v>
      </c>
      <c r="B54" s="1116" t="e">
        <f>SUM(C54:F54)</f>
        <v>#REF!</v>
      </c>
      <c r="C54" s="1116" t="e">
        <f>ТРП!#REF!</f>
        <v>#REF!</v>
      </c>
      <c r="D54" s="1116" t="e">
        <f>ТРП!#REF!</f>
        <v>#REF!</v>
      </c>
      <c r="E54" s="1116" t="e">
        <f>ТРП!#REF!</f>
        <v>#REF!</v>
      </c>
      <c r="F54" s="1116" t="e">
        <f>ТРП!#REF!</f>
        <v>#REF!</v>
      </c>
      <c r="G54" s="1117" t="e">
        <f>ТРП!#REF!</f>
        <v>#REF!</v>
      </c>
      <c r="H54" s="1117" t="e">
        <f>ТРП!#REF!</f>
        <v>#REF!</v>
      </c>
      <c r="I54" s="1117" t="e">
        <f>ТРП!#REF!</f>
        <v>#REF!</v>
      </c>
      <c r="J54" s="1117" t="e">
        <f>ТРП!#REF!</f>
        <v>#REF!</v>
      </c>
      <c r="K54" s="1117" t="e">
        <f>ТРП!#REF!</f>
        <v>#REF!</v>
      </c>
      <c r="L54" s="1117" t="e">
        <f>ТРП!#REF!</f>
        <v>#REF!</v>
      </c>
      <c r="M54" s="1122" t="e">
        <f>ТРП!#REF!</f>
        <v>#REF!</v>
      </c>
    </row>
    <row r="55" spans="1:13" s="26" customFormat="1" ht="12.75">
      <c r="A55" s="1123" t="e">
        <f>+A5</f>
        <v>#REF!</v>
      </c>
      <c r="B55" s="1118" t="e">
        <f>SUM(C55:F55)</f>
        <v>#REF!</v>
      </c>
      <c r="C55" s="1118" t="e">
        <f>$C$54*C21/100</f>
        <v>#REF!</v>
      </c>
      <c r="D55" s="1118" t="e">
        <f>$D$54*D21/100</f>
        <v>#REF!</v>
      </c>
      <c r="E55" s="1118" t="e">
        <f>$E$54*E21/100</f>
        <v>#REF!</v>
      </c>
      <c r="F55" s="1118" t="e">
        <f>$F$54*F21/100</f>
        <v>#REF!</v>
      </c>
      <c r="G55" s="1118" t="e">
        <f>$G$54*G21/100</f>
        <v>#REF!</v>
      </c>
      <c r="H55" s="1118" t="e">
        <f>$H$54*H21/100</f>
        <v>#REF!</v>
      </c>
      <c r="I55" s="1118" t="e">
        <f>$I$54*I21/100</f>
        <v>#REF!</v>
      </c>
      <c r="J55" s="1118" t="e">
        <f>J$54*J21/100</f>
        <v>#REF!</v>
      </c>
      <c r="K55" s="1118" t="e">
        <f t="shared" ref="K55:M55" si="16">K$54*K21/100</f>
        <v>#REF!</v>
      </c>
      <c r="L55" s="1118" t="e">
        <f t="shared" si="16"/>
        <v>#REF!</v>
      </c>
      <c r="M55" s="1128" t="e">
        <f t="shared" si="16"/>
        <v>#REF!</v>
      </c>
    </row>
    <row r="56" spans="1:13" s="26" customFormat="1" ht="12.75">
      <c r="A56" s="1123" t="e">
        <f>+A6</f>
        <v>#REF!</v>
      </c>
      <c r="B56" s="1118" t="e">
        <f t="shared" si="15"/>
        <v>#REF!</v>
      </c>
      <c r="C56" s="1118" t="e">
        <f>$C$54*C22/100</f>
        <v>#REF!</v>
      </c>
      <c r="D56" s="1118" t="e">
        <f>$D$54*D22/100</f>
        <v>#REF!</v>
      </c>
      <c r="E56" s="1118" t="e">
        <f>$E$54*E22/100</f>
        <v>#REF!</v>
      </c>
      <c r="F56" s="1118" t="e">
        <f>$F$54*F22/100</f>
        <v>#REF!</v>
      </c>
      <c r="G56" s="1118" t="e">
        <f>$G$54*G22/100</f>
        <v>#REF!</v>
      </c>
      <c r="H56" s="1118" t="e">
        <f>$H$54*H22/100</f>
        <v>#REF!</v>
      </c>
      <c r="I56" s="1118" t="e">
        <f>$I$54*I22/100</f>
        <v>#REF!</v>
      </c>
      <c r="J56" s="1118" t="e">
        <f>$J$54*J22/100</f>
        <v>#REF!</v>
      </c>
      <c r="K56" s="1118" t="e">
        <f t="shared" ref="K56:M56" si="17">$J$54*K22/100</f>
        <v>#REF!</v>
      </c>
      <c r="L56" s="1118" t="e">
        <f t="shared" si="17"/>
        <v>#REF!</v>
      </c>
      <c r="M56" s="1128" t="e">
        <f t="shared" si="17"/>
        <v>#REF!</v>
      </c>
    </row>
    <row r="57" spans="1:13" s="26" customFormat="1" ht="12.75">
      <c r="A57" s="1123" t="e">
        <f>+A7</f>
        <v>#REF!</v>
      </c>
      <c r="B57" s="1112" t="e">
        <f t="shared" si="15"/>
        <v>#REF!</v>
      </c>
      <c r="C57" s="1112" t="e">
        <f t="shared" ref="C57:C70" si="18">$C$54*C23/100</f>
        <v>#REF!</v>
      </c>
      <c r="D57" s="1112" t="e">
        <f t="shared" ref="D57:D70" si="19">$D$54*D23/100</f>
        <v>#REF!</v>
      </c>
      <c r="E57" s="1112" t="e">
        <f t="shared" ref="E57:E70" si="20">$E$54*E23/100</f>
        <v>#REF!</v>
      </c>
      <c r="F57" s="1112" t="e">
        <f t="shared" ref="F57:F70" si="21">$F$54*F23/100</f>
        <v>#REF!</v>
      </c>
      <c r="G57" s="1118" t="e">
        <f t="shared" ref="G57:G70" si="22">$G$54*G23/100</f>
        <v>#REF!</v>
      </c>
      <c r="H57" s="1118" t="e">
        <f t="shared" ref="H57:H70" si="23">$H$54*H23/100</f>
        <v>#REF!</v>
      </c>
      <c r="I57" s="1118" t="e">
        <f t="shared" ref="I57:I70" si="24">$I$54*I23/100</f>
        <v>#REF!</v>
      </c>
      <c r="J57" s="1118" t="e">
        <f t="shared" ref="J57:M70" si="25">$J$54*J23/100</f>
        <v>#REF!</v>
      </c>
      <c r="K57" s="1112" t="e">
        <f t="shared" si="25"/>
        <v>#REF!</v>
      </c>
      <c r="L57" s="1112" t="e">
        <f t="shared" si="25"/>
        <v>#REF!</v>
      </c>
      <c r="M57" s="1129" t="e">
        <f t="shared" si="25"/>
        <v>#REF!</v>
      </c>
    </row>
    <row r="58" spans="1:13" s="26" customFormat="1" ht="12.75" hidden="1">
      <c r="A58" s="1123" t="s">
        <v>195</v>
      </c>
      <c r="B58" s="1112" t="e">
        <f t="shared" si="15"/>
        <v>#REF!</v>
      </c>
      <c r="C58" s="1112" t="e">
        <f t="shared" si="18"/>
        <v>#REF!</v>
      </c>
      <c r="D58" s="1112" t="e">
        <f t="shared" si="19"/>
        <v>#REF!</v>
      </c>
      <c r="E58" s="1112" t="e">
        <f t="shared" si="20"/>
        <v>#REF!</v>
      </c>
      <c r="F58" s="1112" t="e">
        <f t="shared" si="21"/>
        <v>#REF!</v>
      </c>
      <c r="G58" s="1112" t="e">
        <f t="shared" si="22"/>
        <v>#REF!</v>
      </c>
      <c r="H58" s="1112" t="e">
        <f t="shared" si="23"/>
        <v>#REF!</v>
      </c>
      <c r="I58" s="1112" t="e">
        <f t="shared" si="24"/>
        <v>#REF!</v>
      </c>
      <c r="J58" s="1112" t="e">
        <f t="shared" si="25"/>
        <v>#REF!</v>
      </c>
      <c r="K58" s="1110"/>
      <c r="L58" s="1110"/>
      <c r="M58" s="1125"/>
    </row>
    <row r="59" spans="1:13" s="26" customFormat="1" ht="12.75" hidden="1">
      <c r="A59" s="1123" t="s">
        <v>196</v>
      </c>
      <c r="B59" s="1112" t="e">
        <f t="shared" si="15"/>
        <v>#REF!</v>
      </c>
      <c r="C59" s="1112" t="e">
        <f t="shared" si="18"/>
        <v>#REF!</v>
      </c>
      <c r="D59" s="1112" t="e">
        <f t="shared" si="19"/>
        <v>#REF!</v>
      </c>
      <c r="E59" s="1112" t="e">
        <f t="shared" si="20"/>
        <v>#REF!</v>
      </c>
      <c r="F59" s="1112" t="e">
        <f t="shared" si="21"/>
        <v>#REF!</v>
      </c>
      <c r="G59" s="1112" t="e">
        <f t="shared" si="22"/>
        <v>#REF!</v>
      </c>
      <c r="H59" s="1112" t="e">
        <f t="shared" si="23"/>
        <v>#REF!</v>
      </c>
      <c r="I59" s="1112" t="e">
        <f t="shared" si="24"/>
        <v>#REF!</v>
      </c>
      <c r="J59" s="1112" t="e">
        <f t="shared" si="25"/>
        <v>#REF!</v>
      </c>
      <c r="K59" s="1110"/>
      <c r="L59" s="1110"/>
      <c r="M59" s="1125"/>
    </row>
    <row r="60" spans="1:13" s="26" customFormat="1" ht="12.75" hidden="1">
      <c r="A60" s="1123" t="s">
        <v>197</v>
      </c>
      <c r="B60" s="1112" t="e">
        <f t="shared" si="15"/>
        <v>#REF!</v>
      </c>
      <c r="C60" s="1112" t="e">
        <f t="shared" si="18"/>
        <v>#REF!</v>
      </c>
      <c r="D60" s="1112" t="e">
        <f t="shared" si="19"/>
        <v>#REF!</v>
      </c>
      <c r="E60" s="1112" t="e">
        <f t="shared" si="20"/>
        <v>#REF!</v>
      </c>
      <c r="F60" s="1112" t="e">
        <f t="shared" si="21"/>
        <v>#REF!</v>
      </c>
      <c r="G60" s="1112" t="e">
        <f t="shared" si="22"/>
        <v>#REF!</v>
      </c>
      <c r="H60" s="1112" t="e">
        <f t="shared" si="23"/>
        <v>#REF!</v>
      </c>
      <c r="I60" s="1112" t="e">
        <f t="shared" si="24"/>
        <v>#REF!</v>
      </c>
      <c r="J60" s="1112" t="e">
        <f t="shared" si="25"/>
        <v>#REF!</v>
      </c>
      <c r="K60" s="1110"/>
      <c r="L60" s="1110"/>
      <c r="M60" s="1125"/>
    </row>
    <row r="61" spans="1:13" s="26" customFormat="1" ht="12.75" hidden="1">
      <c r="A61" s="1123" t="s">
        <v>198</v>
      </c>
      <c r="B61" s="1112" t="e">
        <f t="shared" si="15"/>
        <v>#REF!</v>
      </c>
      <c r="C61" s="1112" t="e">
        <f t="shared" si="18"/>
        <v>#REF!</v>
      </c>
      <c r="D61" s="1112" t="e">
        <f t="shared" si="19"/>
        <v>#REF!</v>
      </c>
      <c r="E61" s="1112" t="e">
        <f t="shared" si="20"/>
        <v>#REF!</v>
      </c>
      <c r="F61" s="1112" t="e">
        <f t="shared" si="21"/>
        <v>#REF!</v>
      </c>
      <c r="G61" s="1112" t="e">
        <f t="shared" si="22"/>
        <v>#REF!</v>
      </c>
      <c r="H61" s="1112" t="e">
        <f t="shared" si="23"/>
        <v>#REF!</v>
      </c>
      <c r="I61" s="1112" t="e">
        <f t="shared" si="24"/>
        <v>#REF!</v>
      </c>
      <c r="J61" s="1112" t="e">
        <f t="shared" si="25"/>
        <v>#REF!</v>
      </c>
      <c r="K61" s="1110"/>
      <c r="L61" s="1110"/>
      <c r="M61" s="1125"/>
    </row>
    <row r="62" spans="1:13" s="26" customFormat="1" ht="12.75" hidden="1">
      <c r="A62" s="1123" t="s">
        <v>200</v>
      </c>
      <c r="B62" s="1112" t="e">
        <f t="shared" si="15"/>
        <v>#REF!</v>
      </c>
      <c r="C62" s="1112" t="e">
        <f t="shared" si="18"/>
        <v>#REF!</v>
      </c>
      <c r="D62" s="1112" t="e">
        <f t="shared" si="19"/>
        <v>#REF!</v>
      </c>
      <c r="E62" s="1112" t="e">
        <f t="shared" si="20"/>
        <v>#REF!</v>
      </c>
      <c r="F62" s="1112" t="e">
        <f t="shared" si="21"/>
        <v>#REF!</v>
      </c>
      <c r="G62" s="1112" t="e">
        <f t="shared" si="22"/>
        <v>#REF!</v>
      </c>
      <c r="H62" s="1112" t="e">
        <f t="shared" si="23"/>
        <v>#REF!</v>
      </c>
      <c r="I62" s="1112" t="e">
        <f t="shared" si="24"/>
        <v>#REF!</v>
      </c>
      <c r="J62" s="1112" t="e">
        <f t="shared" si="25"/>
        <v>#REF!</v>
      </c>
      <c r="K62" s="1110"/>
      <c r="L62" s="1110"/>
      <c r="M62" s="1125"/>
    </row>
    <row r="63" spans="1:13" s="26" customFormat="1" ht="12.75" hidden="1">
      <c r="A63" s="1123" t="s">
        <v>199</v>
      </c>
      <c r="B63" s="1112" t="e">
        <f t="shared" si="15"/>
        <v>#REF!</v>
      </c>
      <c r="C63" s="1112" t="e">
        <f t="shared" si="18"/>
        <v>#REF!</v>
      </c>
      <c r="D63" s="1112" t="e">
        <f t="shared" si="19"/>
        <v>#REF!</v>
      </c>
      <c r="E63" s="1112" t="e">
        <f t="shared" si="20"/>
        <v>#REF!</v>
      </c>
      <c r="F63" s="1112" t="e">
        <f t="shared" si="21"/>
        <v>#REF!</v>
      </c>
      <c r="G63" s="1112" t="e">
        <f t="shared" si="22"/>
        <v>#REF!</v>
      </c>
      <c r="H63" s="1112" t="e">
        <f t="shared" si="23"/>
        <v>#REF!</v>
      </c>
      <c r="I63" s="1112" t="e">
        <f t="shared" si="24"/>
        <v>#REF!</v>
      </c>
      <c r="J63" s="1112" t="e">
        <f t="shared" si="25"/>
        <v>#REF!</v>
      </c>
      <c r="K63" s="1110"/>
      <c r="L63" s="1110"/>
      <c r="M63" s="1125"/>
    </row>
    <row r="64" spans="1:13" s="26" customFormat="1" ht="12.75" hidden="1">
      <c r="A64" s="1123" t="s">
        <v>201</v>
      </c>
      <c r="B64" s="1112" t="e">
        <f t="shared" si="15"/>
        <v>#REF!</v>
      </c>
      <c r="C64" s="1112" t="e">
        <f t="shared" si="18"/>
        <v>#REF!</v>
      </c>
      <c r="D64" s="1112" t="e">
        <f t="shared" si="19"/>
        <v>#REF!</v>
      </c>
      <c r="E64" s="1112" t="e">
        <f t="shared" si="20"/>
        <v>#REF!</v>
      </c>
      <c r="F64" s="1112" t="e">
        <f t="shared" si="21"/>
        <v>#REF!</v>
      </c>
      <c r="G64" s="1112" t="e">
        <f t="shared" si="22"/>
        <v>#REF!</v>
      </c>
      <c r="H64" s="1112" t="e">
        <f t="shared" si="23"/>
        <v>#REF!</v>
      </c>
      <c r="I64" s="1112" t="e">
        <f t="shared" si="24"/>
        <v>#REF!</v>
      </c>
      <c r="J64" s="1112" t="e">
        <f t="shared" si="25"/>
        <v>#REF!</v>
      </c>
      <c r="K64" s="1110"/>
      <c r="L64" s="1110"/>
      <c r="M64" s="1125"/>
    </row>
    <row r="65" spans="1:13" s="26" customFormat="1" ht="12.75" hidden="1">
      <c r="A65" s="1123" t="s">
        <v>202</v>
      </c>
      <c r="B65" s="1112" t="e">
        <f t="shared" si="15"/>
        <v>#REF!</v>
      </c>
      <c r="C65" s="1112" t="e">
        <f t="shared" si="18"/>
        <v>#REF!</v>
      </c>
      <c r="D65" s="1112" t="e">
        <f t="shared" si="19"/>
        <v>#REF!</v>
      </c>
      <c r="E65" s="1112" t="e">
        <f t="shared" si="20"/>
        <v>#REF!</v>
      </c>
      <c r="F65" s="1112" t="e">
        <f t="shared" si="21"/>
        <v>#REF!</v>
      </c>
      <c r="G65" s="1112" t="e">
        <f t="shared" si="22"/>
        <v>#REF!</v>
      </c>
      <c r="H65" s="1112" t="e">
        <f t="shared" si="23"/>
        <v>#REF!</v>
      </c>
      <c r="I65" s="1112" t="e">
        <f t="shared" si="24"/>
        <v>#REF!</v>
      </c>
      <c r="J65" s="1112" t="e">
        <f t="shared" si="25"/>
        <v>#REF!</v>
      </c>
      <c r="K65" s="1110"/>
      <c r="L65" s="1110"/>
      <c r="M65" s="1125"/>
    </row>
    <row r="66" spans="1:13" s="26" customFormat="1" ht="12.75" hidden="1">
      <c r="A66" s="1123" t="s">
        <v>203</v>
      </c>
      <c r="B66" s="1112" t="e">
        <f t="shared" si="15"/>
        <v>#REF!</v>
      </c>
      <c r="C66" s="1112" t="e">
        <f t="shared" si="18"/>
        <v>#REF!</v>
      </c>
      <c r="D66" s="1112" t="e">
        <f t="shared" si="19"/>
        <v>#REF!</v>
      </c>
      <c r="E66" s="1112" t="e">
        <f t="shared" si="20"/>
        <v>#REF!</v>
      </c>
      <c r="F66" s="1112" t="e">
        <f t="shared" si="21"/>
        <v>#REF!</v>
      </c>
      <c r="G66" s="1112" t="e">
        <f t="shared" si="22"/>
        <v>#REF!</v>
      </c>
      <c r="H66" s="1112" t="e">
        <f t="shared" si="23"/>
        <v>#REF!</v>
      </c>
      <c r="I66" s="1112" t="e">
        <f t="shared" si="24"/>
        <v>#REF!</v>
      </c>
      <c r="J66" s="1112" t="e">
        <f t="shared" si="25"/>
        <v>#REF!</v>
      </c>
      <c r="K66" s="1110"/>
      <c r="L66" s="1110"/>
      <c r="M66" s="1125"/>
    </row>
    <row r="67" spans="1:13" s="26" customFormat="1" ht="12.75" hidden="1">
      <c r="A67" s="1123" t="s">
        <v>204</v>
      </c>
      <c r="B67" s="1112" t="e">
        <f t="shared" si="15"/>
        <v>#REF!</v>
      </c>
      <c r="C67" s="1112" t="e">
        <f t="shared" si="18"/>
        <v>#REF!</v>
      </c>
      <c r="D67" s="1112" t="e">
        <f t="shared" si="19"/>
        <v>#REF!</v>
      </c>
      <c r="E67" s="1112" t="e">
        <f t="shared" si="20"/>
        <v>#REF!</v>
      </c>
      <c r="F67" s="1112" t="e">
        <f t="shared" si="21"/>
        <v>#REF!</v>
      </c>
      <c r="G67" s="1112" t="e">
        <f t="shared" si="22"/>
        <v>#REF!</v>
      </c>
      <c r="H67" s="1112" t="e">
        <f t="shared" si="23"/>
        <v>#REF!</v>
      </c>
      <c r="I67" s="1112" t="e">
        <f t="shared" si="24"/>
        <v>#REF!</v>
      </c>
      <c r="J67" s="1112" t="e">
        <f t="shared" si="25"/>
        <v>#REF!</v>
      </c>
      <c r="K67" s="1110"/>
      <c r="L67" s="1110"/>
      <c r="M67" s="1125"/>
    </row>
    <row r="68" spans="1:13" s="26" customFormat="1" ht="12.75" hidden="1">
      <c r="A68" s="1123" t="s">
        <v>205</v>
      </c>
      <c r="B68" s="1112" t="e">
        <f t="shared" si="15"/>
        <v>#REF!</v>
      </c>
      <c r="C68" s="1112" t="e">
        <f t="shared" si="18"/>
        <v>#REF!</v>
      </c>
      <c r="D68" s="1112" t="e">
        <f t="shared" si="19"/>
        <v>#REF!</v>
      </c>
      <c r="E68" s="1112" t="e">
        <f t="shared" si="20"/>
        <v>#REF!</v>
      </c>
      <c r="F68" s="1112" t="e">
        <f t="shared" si="21"/>
        <v>#REF!</v>
      </c>
      <c r="G68" s="1112" t="e">
        <f t="shared" si="22"/>
        <v>#REF!</v>
      </c>
      <c r="H68" s="1112" t="e">
        <f t="shared" si="23"/>
        <v>#REF!</v>
      </c>
      <c r="I68" s="1112" t="e">
        <f t="shared" si="24"/>
        <v>#REF!</v>
      </c>
      <c r="J68" s="1112" t="e">
        <f t="shared" si="25"/>
        <v>#REF!</v>
      </c>
      <c r="K68" s="1110"/>
      <c r="L68" s="1110"/>
      <c r="M68" s="1125"/>
    </row>
    <row r="69" spans="1:13" s="26" customFormat="1" ht="12.75" hidden="1">
      <c r="A69" s="1123" t="s">
        <v>206</v>
      </c>
      <c r="B69" s="1112" t="e">
        <f t="shared" si="15"/>
        <v>#REF!</v>
      </c>
      <c r="C69" s="1112" t="e">
        <f t="shared" si="18"/>
        <v>#REF!</v>
      </c>
      <c r="D69" s="1112" t="e">
        <f t="shared" si="19"/>
        <v>#REF!</v>
      </c>
      <c r="E69" s="1112" t="e">
        <f t="shared" si="20"/>
        <v>#REF!</v>
      </c>
      <c r="F69" s="1112" t="e">
        <f t="shared" si="21"/>
        <v>#REF!</v>
      </c>
      <c r="G69" s="1112" t="e">
        <f t="shared" si="22"/>
        <v>#REF!</v>
      </c>
      <c r="H69" s="1112" t="e">
        <f t="shared" si="23"/>
        <v>#REF!</v>
      </c>
      <c r="I69" s="1112" t="e">
        <f t="shared" si="24"/>
        <v>#REF!</v>
      </c>
      <c r="J69" s="1112" t="e">
        <f t="shared" si="25"/>
        <v>#REF!</v>
      </c>
      <c r="K69" s="1110"/>
      <c r="L69" s="1110"/>
      <c r="M69" s="1125"/>
    </row>
    <row r="70" spans="1:13" s="26" customFormat="1" ht="12.75" hidden="1">
      <c r="A70" s="1123" t="s">
        <v>207</v>
      </c>
      <c r="B70" s="1112" t="e">
        <f t="shared" si="15"/>
        <v>#REF!</v>
      </c>
      <c r="C70" s="1112" t="e">
        <f t="shared" si="18"/>
        <v>#REF!</v>
      </c>
      <c r="D70" s="1112" t="e">
        <f t="shared" si="19"/>
        <v>#REF!</v>
      </c>
      <c r="E70" s="1112" t="e">
        <f t="shared" si="20"/>
        <v>#REF!</v>
      </c>
      <c r="F70" s="1112" t="e">
        <f t="shared" si="21"/>
        <v>#REF!</v>
      </c>
      <c r="G70" s="1112" t="e">
        <f t="shared" si="22"/>
        <v>#REF!</v>
      </c>
      <c r="H70" s="1112" t="e">
        <f t="shared" si="23"/>
        <v>#REF!</v>
      </c>
      <c r="I70" s="1112" t="e">
        <f t="shared" si="24"/>
        <v>#REF!</v>
      </c>
      <c r="J70" s="1112" t="e">
        <f t="shared" si="25"/>
        <v>#REF!</v>
      </c>
      <c r="K70" s="1110"/>
      <c r="L70" s="1110"/>
      <c r="M70" s="1125"/>
    </row>
    <row r="71" spans="1:13" s="1" customFormat="1">
      <c r="A71" s="1130" t="s">
        <v>108</v>
      </c>
      <c r="B71" s="1120" t="e">
        <f t="shared" ref="B71:M71" si="26">B4-B37</f>
        <v>#REF!</v>
      </c>
      <c r="C71" s="1120" t="e">
        <f t="shared" si="26"/>
        <v>#REF!</v>
      </c>
      <c r="D71" s="1120" t="e">
        <f t="shared" si="26"/>
        <v>#REF!</v>
      </c>
      <c r="E71" s="1120" t="e">
        <f t="shared" si="26"/>
        <v>#REF!</v>
      </c>
      <c r="F71" s="1120" t="e">
        <f t="shared" si="26"/>
        <v>#REF!</v>
      </c>
      <c r="G71" s="1120" t="e">
        <f t="shared" si="26"/>
        <v>#REF!</v>
      </c>
      <c r="H71" s="1120" t="e">
        <f t="shared" si="26"/>
        <v>#REF!</v>
      </c>
      <c r="I71" s="1120" t="e">
        <f t="shared" si="26"/>
        <v>#REF!</v>
      </c>
      <c r="J71" s="1120" t="e">
        <f t="shared" si="26"/>
        <v>#REF!</v>
      </c>
      <c r="K71" s="1120" t="e">
        <f t="shared" si="26"/>
        <v>#REF!</v>
      </c>
      <c r="L71" s="1120" t="e">
        <f t="shared" si="26"/>
        <v>#REF!</v>
      </c>
      <c r="M71" s="1131" t="e">
        <f t="shared" si="26"/>
        <v>#REF!</v>
      </c>
    </row>
    <row r="72" spans="1:13" s="26" customFormat="1" ht="12.75">
      <c r="A72" s="1123" t="e">
        <f>A38</f>
        <v>#REF!</v>
      </c>
      <c r="B72" s="1118" t="e">
        <f t="shared" ref="B72:M72" si="27">B5-B38</f>
        <v>#REF!</v>
      </c>
      <c r="C72" s="1118" t="e">
        <f t="shared" si="27"/>
        <v>#REF!</v>
      </c>
      <c r="D72" s="1118" t="e">
        <f t="shared" si="27"/>
        <v>#REF!</v>
      </c>
      <c r="E72" s="1118" t="e">
        <f t="shared" si="27"/>
        <v>#REF!</v>
      </c>
      <c r="F72" s="1118" t="e">
        <f t="shared" si="27"/>
        <v>#REF!</v>
      </c>
      <c r="G72" s="1118" t="e">
        <f t="shared" si="27"/>
        <v>#REF!</v>
      </c>
      <c r="H72" s="1118" t="e">
        <f t="shared" si="27"/>
        <v>#REF!</v>
      </c>
      <c r="I72" s="1118" t="e">
        <f t="shared" si="27"/>
        <v>#REF!</v>
      </c>
      <c r="J72" s="1118" t="e">
        <f t="shared" si="27"/>
        <v>#REF!</v>
      </c>
      <c r="K72" s="1118" t="e">
        <f t="shared" si="27"/>
        <v>#REF!</v>
      </c>
      <c r="L72" s="1118" t="e">
        <f t="shared" si="27"/>
        <v>#REF!</v>
      </c>
      <c r="M72" s="1128" t="e">
        <f t="shared" si="27"/>
        <v>#REF!</v>
      </c>
    </row>
    <row r="73" spans="1:13" s="26" customFormat="1" ht="12.75">
      <c r="A73" s="1123" t="e">
        <f>A39</f>
        <v>#REF!</v>
      </c>
      <c r="B73" s="1118" t="e">
        <f t="shared" ref="B73:M73" si="28">B6-B39</f>
        <v>#REF!</v>
      </c>
      <c r="C73" s="1118" t="e">
        <f t="shared" si="28"/>
        <v>#REF!</v>
      </c>
      <c r="D73" s="1118" t="e">
        <f t="shared" si="28"/>
        <v>#REF!</v>
      </c>
      <c r="E73" s="1118" t="e">
        <f t="shared" si="28"/>
        <v>#REF!</v>
      </c>
      <c r="F73" s="1118" t="e">
        <f t="shared" si="28"/>
        <v>#REF!</v>
      </c>
      <c r="G73" s="1118" t="e">
        <f t="shared" si="28"/>
        <v>#REF!</v>
      </c>
      <c r="H73" s="1118" t="e">
        <f t="shared" si="28"/>
        <v>#REF!</v>
      </c>
      <c r="I73" s="1118" t="e">
        <f t="shared" si="28"/>
        <v>#REF!</v>
      </c>
      <c r="J73" s="1118" t="e">
        <f t="shared" si="28"/>
        <v>#REF!</v>
      </c>
      <c r="K73" s="1118" t="e">
        <f t="shared" si="28"/>
        <v>#REF!</v>
      </c>
      <c r="L73" s="1118" t="e">
        <f t="shared" si="28"/>
        <v>#REF!</v>
      </c>
      <c r="M73" s="1128" t="e">
        <f t="shared" si="28"/>
        <v>#REF!</v>
      </c>
    </row>
    <row r="74" spans="1:13" s="26" customFormat="1" ht="12.75">
      <c r="A74" s="1123" t="e">
        <f>A40</f>
        <v>#REF!</v>
      </c>
      <c r="B74" s="1118" t="e">
        <f t="shared" ref="B74:M74" si="29">B7-B40</f>
        <v>#REF!</v>
      </c>
      <c r="C74" s="1118" t="e">
        <f t="shared" si="29"/>
        <v>#REF!</v>
      </c>
      <c r="D74" s="1118" t="e">
        <f t="shared" si="29"/>
        <v>#REF!</v>
      </c>
      <c r="E74" s="1118" t="e">
        <f t="shared" si="29"/>
        <v>#REF!</v>
      </c>
      <c r="F74" s="1118" t="e">
        <f t="shared" si="29"/>
        <v>#REF!</v>
      </c>
      <c r="G74" s="1118" t="e">
        <f t="shared" si="29"/>
        <v>#REF!</v>
      </c>
      <c r="H74" s="1118" t="e">
        <f t="shared" si="29"/>
        <v>#REF!</v>
      </c>
      <c r="I74" s="1118" t="e">
        <f t="shared" si="29"/>
        <v>#REF!</v>
      </c>
      <c r="J74" s="1118" t="e">
        <f t="shared" si="29"/>
        <v>#REF!</v>
      </c>
      <c r="K74" s="1118" t="e">
        <f t="shared" si="29"/>
        <v>#REF!</v>
      </c>
      <c r="L74" s="1118" t="e">
        <f t="shared" si="29"/>
        <v>#REF!</v>
      </c>
      <c r="M74" s="1128" t="e">
        <f t="shared" si="29"/>
        <v>#REF!</v>
      </c>
    </row>
    <row r="75" spans="1:13" s="26" customFormat="1" ht="12.75" hidden="1">
      <c r="A75" s="1123" t="e">
        <f t="shared" ref="A75:A87" si="30">A41</f>
        <v>#REF!</v>
      </c>
      <c r="B75" s="1112" t="e">
        <f t="shared" ref="B75:J75" si="31">B8-B41</f>
        <v>#REF!</v>
      </c>
      <c r="C75" s="1112" t="e">
        <f t="shared" si="31"/>
        <v>#REF!</v>
      </c>
      <c r="D75" s="1112" t="e">
        <f t="shared" si="31"/>
        <v>#REF!</v>
      </c>
      <c r="E75" s="1112" t="e">
        <f t="shared" si="31"/>
        <v>#REF!</v>
      </c>
      <c r="F75" s="1112" t="e">
        <f t="shared" si="31"/>
        <v>#REF!</v>
      </c>
      <c r="G75" s="1112" t="e">
        <f t="shared" si="31"/>
        <v>#REF!</v>
      </c>
      <c r="H75" s="1112" t="e">
        <f t="shared" si="31"/>
        <v>#REF!</v>
      </c>
      <c r="I75" s="1112" t="e">
        <f t="shared" si="31"/>
        <v>#REF!</v>
      </c>
      <c r="J75" s="1112" t="e">
        <f t="shared" si="31"/>
        <v>#REF!</v>
      </c>
      <c r="K75" s="1110"/>
      <c r="L75" s="1110"/>
      <c r="M75" s="1125"/>
    </row>
    <row r="76" spans="1:13" s="26" customFormat="1" ht="12.75" hidden="1">
      <c r="A76" s="1123" t="e">
        <f t="shared" si="30"/>
        <v>#REF!</v>
      </c>
      <c r="B76" s="1112"/>
      <c r="C76" s="1112"/>
      <c r="D76" s="1112"/>
      <c r="E76" s="1112"/>
      <c r="F76" s="1112"/>
      <c r="G76" s="1112"/>
      <c r="H76" s="1112"/>
      <c r="I76" s="1112"/>
      <c r="J76" s="1112"/>
      <c r="K76" s="1110"/>
      <c r="L76" s="1110"/>
      <c r="M76" s="1125"/>
    </row>
    <row r="77" spans="1:13" s="26" customFormat="1" ht="12.75" hidden="1">
      <c r="A77" s="1123" t="e">
        <f t="shared" si="30"/>
        <v>#REF!</v>
      </c>
      <c r="B77" s="1112"/>
      <c r="C77" s="1112"/>
      <c r="D77" s="1112"/>
      <c r="E77" s="1112"/>
      <c r="F77" s="1112"/>
      <c r="G77" s="1112"/>
      <c r="H77" s="1112"/>
      <c r="I77" s="1112"/>
      <c r="J77" s="1112"/>
      <c r="K77" s="1110"/>
      <c r="L77" s="1110"/>
      <c r="M77" s="1125"/>
    </row>
    <row r="78" spans="1:13" s="26" customFormat="1" ht="12.75" hidden="1">
      <c r="A78" s="1123" t="e">
        <f t="shared" si="30"/>
        <v>#REF!</v>
      </c>
      <c r="B78" s="1112"/>
      <c r="C78" s="1112"/>
      <c r="D78" s="1112"/>
      <c r="E78" s="1112"/>
      <c r="F78" s="1112"/>
      <c r="G78" s="1112"/>
      <c r="H78" s="1112"/>
      <c r="I78" s="1112"/>
      <c r="J78" s="1112"/>
      <c r="K78" s="1110"/>
      <c r="L78" s="1110"/>
      <c r="M78" s="1125"/>
    </row>
    <row r="79" spans="1:13" s="26" customFormat="1" ht="12.75" hidden="1">
      <c r="A79" s="1123" t="e">
        <f t="shared" si="30"/>
        <v>#REF!</v>
      </c>
      <c r="B79" s="1112"/>
      <c r="C79" s="1112"/>
      <c r="D79" s="1112"/>
      <c r="E79" s="1112"/>
      <c r="F79" s="1112"/>
      <c r="G79" s="1112"/>
      <c r="H79" s="1112"/>
      <c r="I79" s="1112"/>
      <c r="J79" s="1112"/>
      <c r="K79" s="1110"/>
      <c r="L79" s="1110"/>
      <c r="M79" s="1125"/>
    </row>
    <row r="80" spans="1:13" s="26" customFormat="1" ht="12.75" hidden="1">
      <c r="A80" s="1123" t="e">
        <f t="shared" si="30"/>
        <v>#REF!</v>
      </c>
      <c r="B80" s="1112"/>
      <c r="C80" s="1112"/>
      <c r="D80" s="1112"/>
      <c r="E80" s="1112"/>
      <c r="F80" s="1112"/>
      <c r="G80" s="1112"/>
      <c r="H80" s="1112"/>
      <c r="I80" s="1112"/>
      <c r="J80" s="1112"/>
      <c r="K80" s="1110"/>
      <c r="L80" s="1110"/>
      <c r="M80" s="1125"/>
    </row>
    <row r="81" spans="1:13" s="26" customFormat="1" ht="12.75" hidden="1">
      <c r="A81" s="1123" t="e">
        <f t="shared" si="30"/>
        <v>#REF!</v>
      </c>
      <c r="B81" s="1112"/>
      <c r="C81" s="1112"/>
      <c r="D81" s="1112"/>
      <c r="E81" s="1112"/>
      <c r="F81" s="1112"/>
      <c r="G81" s="1112"/>
      <c r="H81" s="1112"/>
      <c r="I81" s="1112"/>
      <c r="J81" s="1112"/>
      <c r="K81" s="1110"/>
      <c r="L81" s="1110"/>
      <c r="M81" s="1125"/>
    </row>
    <row r="82" spans="1:13" s="26" customFormat="1" ht="12.75" hidden="1">
      <c r="A82" s="1123" t="e">
        <f t="shared" si="30"/>
        <v>#REF!</v>
      </c>
      <c r="B82" s="1112"/>
      <c r="C82" s="1112"/>
      <c r="D82" s="1112"/>
      <c r="E82" s="1112"/>
      <c r="F82" s="1112"/>
      <c r="G82" s="1112"/>
      <c r="H82" s="1112"/>
      <c r="I82" s="1112"/>
      <c r="J82" s="1112"/>
      <c r="K82" s="1110"/>
      <c r="L82" s="1110"/>
      <c r="M82" s="1125"/>
    </row>
    <row r="83" spans="1:13" s="26" customFormat="1" ht="12.75" hidden="1">
      <c r="A83" s="1123" t="e">
        <f t="shared" si="30"/>
        <v>#REF!</v>
      </c>
      <c r="B83" s="1112"/>
      <c r="C83" s="1112"/>
      <c r="D83" s="1112"/>
      <c r="E83" s="1112"/>
      <c r="F83" s="1112"/>
      <c r="G83" s="1112"/>
      <c r="H83" s="1112"/>
      <c r="I83" s="1112"/>
      <c r="J83" s="1112"/>
      <c r="K83" s="1110"/>
      <c r="L83" s="1110"/>
      <c r="M83" s="1125"/>
    </row>
    <row r="84" spans="1:13" s="26" customFormat="1" ht="12.75" hidden="1">
      <c r="A84" s="1123" t="e">
        <f t="shared" si="30"/>
        <v>#REF!</v>
      </c>
      <c r="B84" s="1112"/>
      <c r="C84" s="1112"/>
      <c r="D84" s="1112"/>
      <c r="E84" s="1112"/>
      <c r="F84" s="1112"/>
      <c r="G84" s="1112"/>
      <c r="H84" s="1112"/>
      <c r="I84" s="1112"/>
      <c r="J84" s="1112"/>
      <c r="K84" s="1110"/>
      <c r="L84" s="1110"/>
      <c r="M84" s="1125"/>
    </row>
    <row r="85" spans="1:13" s="26" customFormat="1" ht="12.75" hidden="1">
      <c r="A85" s="1123" t="e">
        <f t="shared" si="30"/>
        <v>#REF!</v>
      </c>
      <c r="B85" s="1112"/>
      <c r="C85" s="1112"/>
      <c r="D85" s="1112"/>
      <c r="E85" s="1112"/>
      <c r="F85" s="1112"/>
      <c r="G85" s="1112"/>
      <c r="H85" s="1112"/>
      <c r="I85" s="1112"/>
      <c r="J85" s="1112"/>
      <c r="K85" s="1110"/>
      <c r="L85" s="1110"/>
      <c r="M85" s="1125"/>
    </row>
    <row r="86" spans="1:13" s="26" customFormat="1" ht="12.75" hidden="1">
      <c r="A86" s="1123" t="e">
        <f t="shared" si="30"/>
        <v>#REF!</v>
      </c>
      <c r="B86" s="1112"/>
      <c r="C86" s="1112"/>
      <c r="D86" s="1112"/>
      <c r="E86" s="1112"/>
      <c r="F86" s="1112"/>
      <c r="G86" s="1112"/>
      <c r="H86" s="1112"/>
      <c r="I86" s="1112"/>
      <c r="J86" s="1112"/>
      <c r="K86" s="1110"/>
      <c r="L86" s="1110"/>
      <c r="M86" s="1125"/>
    </row>
    <row r="87" spans="1:13" s="26" customFormat="1" ht="12.75" hidden="1">
      <c r="A87" s="1123" t="e">
        <f t="shared" si="30"/>
        <v>#REF!</v>
      </c>
      <c r="B87" s="1112"/>
      <c r="C87" s="1112"/>
      <c r="D87" s="1112"/>
      <c r="E87" s="1112"/>
      <c r="F87" s="1112"/>
      <c r="G87" s="1112"/>
      <c r="H87" s="1112"/>
      <c r="I87" s="1112"/>
      <c r="J87" s="1112"/>
      <c r="K87" s="1110"/>
      <c r="L87" s="1110"/>
      <c r="M87" s="1125"/>
    </row>
    <row r="88" spans="1:13" s="29" customFormat="1">
      <c r="A88" s="1130" t="s">
        <v>109</v>
      </c>
      <c r="B88" s="1114" t="e">
        <f t="shared" ref="B88:M88" si="32">B71/B4</f>
        <v>#REF!</v>
      </c>
      <c r="C88" s="1114" t="e">
        <f t="shared" si="32"/>
        <v>#REF!</v>
      </c>
      <c r="D88" s="1114" t="e">
        <f t="shared" si="32"/>
        <v>#REF!</v>
      </c>
      <c r="E88" s="1114" t="e">
        <f t="shared" si="32"/>
        <v>#REF!</v>
      </c>
      <c r="F88" s="1114" t="e">
        <f t="shared" si="32"/>
        <v>#REF!</v>
      </c>
      <c r="G88" s="1114" t="e">
        <f t="shared" si="32"/>
        <v>#REF!</v>
      </c>
      <c r="H88" s="1114" t="e">
        <f t="shared" si="32"/>
        <v>#REF!</v>
      </c>
      <c r="I88" s="1114" t="e">
        <f t="shared" si="32"/>
        <v>#REF!</v>
      </c>
      <c r="J88" s="1114" t="e">
        <f t="shared" si="32"/>
        <v>#REF!</v>
      </c>
      <c r="K88" s="1114" t="e">
        <f t="shared" si="32"/>
        <v>#REF!</v>
      </c>
      <c r="L88" s="1114" t="e">
        <f t="shared" si="32"/>
        <v>#REF!</v>
      </c>
      <c r="M88" s="1132" t="e">
        <f t="shared" si="32"/>
        <v>#REF!</v>
      </c>
    </row>
    <row r="89" spans="1:13" s="26" customFormat="1" ht="12.75">
      <c r="A89" s="1123" t="e">
        <f>A72</f>
        <v>#REF!</v>
      </c>
      <c r="B89" s="1112" t="e">
        <f t="shared" ref="B89:J89" si="33">B72/B5</f>
        <v>#REF!</v>
      </c>
      <c r="C89" s="1112" t="e">
        <f t="shared" si="33"/>
        <v>#REF!</v>
      </c>
      <c r="D89" s="1112" t="e">
        <f t="shared" si="33"/>
        <v>#REF!</v>
      </c>
      <c r="E89" s="1112" t="e">
        <f t="shared" si="33"/>
        <v>#REF!</v>
      </c>
      <c r="F89" s="1112" t="e">
        <f t="shared" si="33"/>
        <v>#REF!</v>
      </c>
      <c r="G89" s="1112" t="e">
        <f t="shared" si="33"/>
        <v>#REF!</v>
      </c>
      <c r="H89" s="1112" t="e">
        <f t="shared" si="33"/>
        <v>#REF!</v>
      </c>
      <c r="I89" s="1112" t="e">
        <f t="shared" si="33"/>
        <v>#REF!</v>
      </c>
      <c r="J89" s="1112" t="e">
        <f t="shared" si="33"/>
        <v>#REF!</v>
      </c>
      <c r="K89" s="1112" t="e">
        <f t="shared" ref="K89:M89" si="34">K72/K5</f>
        <v>#REF!</v>
      </c>
      <c r="L89" s="1112" t="e">
        <f t="shared" si="34"/>
        <v>#REF!</v>
      </c>
      <c r="M89" s="1129" t="e">
        <f t="shared" si="34"/>
        <v>#REF!</v>
      </c>
    </row>
    <row r="90" spans="1:13" s="26" customFormat="1" ht="12.75">
      <c r="A90" s="1123" t="e">
        <f>A73</f>
        <v>#REF!</v>
      </c>
      <c r="B90" s="1112" t="e">
        <f t="shared" ref="B90:J90" si="35">B73/B6</f>
        <v>#REF!</v>
      </c>
      <c r="C90" s="1112" t="e">
        <f t="shared" si="35"/>
        <v>#REF!</v>
      </c>
      <c r="D90" s="1112" t="e">
        <f t="shared" si="35"/>
        <v>#REF!</v>
      </c>
      <c r="E90" s="1112" t="e">
        <f t="shared" si="35"/>
        <v>#REF!</v>
      </c>
      <c r="F90" s="1112" t="e">
        <f t="shared" si="35"/>
        <v>#REF!</v>
      </c>
      <c r="G90" s="1112" t="e">
        <f t="shared" si="35"/>
        <v>#REF!</v>
      </c>
      <c r="H90" s="1112" t="e">
        <f t="shared" si="35"/>
        <v>#REF!</v>
      </c>
      <c r="I90" s="1112" t="e">
        <f t="shared" si="35"/>
        <v>#REF!</v>
      </c>
      <c r="J90" s="1112" t="e">
        <f t="shared" si="35"/>
        <v>#REF!</v>
      </c>
      <c r="K90" s="1112" t="e">
        <f t="shared" ref="K90:M90" si="36">K73/K6</f>
        <v>#REF!</v>
      </c>
      <c r="L90" s="1112" t="e">
        <f t="shared" si="36"/>
        <v>#REF!</v>
      </c>
      <c r="M90" s="1129" t="e">
        <f t="shared" si="36"/>
        <v>#REF!</v>
      </c>
    </row>
    <row r="91" spans="1:13" s="26" customFormat="1" ht="12.75">
      <c r="A91" s="1123" t="e">
        <f>A74</f>
        <v>#REF!</v>
      </c>
      <c r="B91" s="1112" t="e">
        <f t="shared" ref="B91:J91" si="37">B74/B7</f>
        <v>#REF!</v>
      </c>
      <c r="C91" s="1112" t="e">
        <f t="shared" si="37"/>
        <v>#REF!</v>
      </c>
      <c r="D91" s="1112" t="e">
        <f t="shared" si="37"/>
        <v>#REF!</v>
      </c>
      <c r="E91" s="1112" t="e">
        <f t="shared" si="37"/>
        <v>#REF!</v>
      </c>
      <c r="F91" s="1112" t="e">
        <f t="shared" si="37"/>
        <v>#REF!</v>
      </c>
      <c r="G91" s="1112" t="e">
        <f t="shared" si="37"/>
        <v>#REF!</v>
      </c>
      <c r="H91" s="1112" t="e">
        <f t="shared" si="37"/>
        <v>#REF!</v>
      </c>
      <c r="I91" s="1112" t="e">
        <f t="shared" si="37"/>
        <v>#REF!</v>
      </c>
      <c r="J91" s="1112" t="e">
        <f t="shared" si="37"/>
        <v>#REF!</v>
      </c>
      <c r="K91" s="1112" t="e">
        <f t="shared" ref="K91:M91" si="38">K74/K7</f>
        <v>#REF!</v>
      </c>
      <c r="L91" s="1112" t="e">
        <f t="shared" si="38"/>
        <v>#REF!</v>
      </c>
      <c r="M91" s="1129" t="e">
        <f t="shared" si="38"/>
        <v>#REF!</v>
      </c>
    </row>
    <row r="92" spans="1:13" s="26" customFormat="1" ht="12.75" hidden="1">
      <c r="A92" s="1123" t="e">
        <f t="shared" ref="A92:A104" si="39">A75</f>
        <v>#REF!</v>
      </c>
      <c r="B92" s="1112"/>
      <c r="C92" s="1112"/>
      <c r="D92" s="1112"/>
      <c r="E92" s="1112"/>
      <c r="F92" s="1112"/>
      <c r="G92" s="1112"/>
      <c r="H92" s="1112"/>
      <c r="I92" s="1112"/>
      <c r="J92" s="1112"/>
      <c r="K92" s="1110"/>
      <c r="L92" s="1110"/>
      <c r="M92" s="1125"/>
    </row>
    <row r="93" spans="1:13" s="26" customFormat="1" ht="12.75" hidden="1">
      <c r="A93" s="1123" t="e">
        <f t="shared" si="39"/>
        <v>#REF!</v>
      </c>
      <c r="B93" s="1112"/>
      <c r="C93" s="1112"/>
      <c r="D93" s="1112"/>
      <c r="E93" s="1112"/>
      <c r="F93" s="1112"/>
      <c r="G93" s="1112"/>
      <c r="H93" s="1112"/>
      <c r="I93" s="1112"/>
      <c r="J93" s="1112"/>
      <c r="K93" s="1110"/>
      <c r="L93" s="1110"/>
      <c r="M93" s="1125"/>
    </row>
    <row r="94" spans="1:13" s="26" customFormat="1" ht="12.75" hidden="1">
      <c r="A94" s="1123" t="e">
        <f t="shared" si="39"/>
        <v>#REF!</v>
      </c>
      <c r="B94" s="1112"/>
      <c r="C94" s="1112"/>
      <c r="D94" s="1112"/>
      <c r="E94" s="1112"/>
      <c r="F94" s="1112"/>
      <c r="G94" s="1112"/>
      <c r="H94" s="1112"/>
      <c r="I94" s="1112"/>
      <c r="J94" s="1112"/>
      <c r="K94" s="1110"/>
      <c r="L94" s="1110"/>
      <c r="M94" s="1125"/>
    </row>
    <row r="95" spans="1:13" s="26" customFormat="1" ht="12.75" hidden="1">
      <c r="A95" s="1123" t="e">
        <f t="shared" si="39"/>
        <v>#REF!</v>
      </c>
      <c r="B95" s="1112"/>
      <c r="C95" s="1112"/>
      <c r="D95" s="1112"/>
      <c r="E95" s="1112"/>
      <c r="F95" s="1112"/>
      <c r="G95" s="1112"/>
      <c r="H95" s="1112"/>
      <c r="I95" s="1112"/>
      <c r="J95" s="1112"/>
      <c r="K95" s="1110"/>
      <c r="L95" s="1110"/>
      <c r="M95" s="1125"/>
    </row>
    <row r="96" spans="1:13" s="26" customFormat="1" ht="12.75" hidden="1">
      <c r="A96" s="1123" t="e">
        <f t="shared" si="39"/>
        <v>#REF!</v>
      </c>
      <c r="B96" s="1112"/>
      <c r="C96" s="1112"/>
      <c r="D96" s="1112"/>
      <c r="E96" s="1112"/>
      <c r="F96" s="1112"/>
      <c r="G96" s="1112"/>
      <c r="H96" s="1112"/>
      <c r="I96" s="1112"/>
      <c r="J96" s="1112"/>
      <c r="K96" s="1110"/>
      <c r="L96" s="1110"/>
      <c r="M96" s="1125"/>
    </row>
    <row r="97" spans="1:13" s="26" customFormat="1" ht="12.75" hidden="1">
      <c r="A97" s="1123" t="e">
        <f t="shared" si="39"/>
        <v>#REF!</v>
      </c>
      <c r="B97" s="1112"/>
      <c r="C97" s="1112"/>
      <c r="D97" s="1112"/>
      <c r="E97" s="1112"/>
      <c r="F97" s="1112"/>
      <c r="G97" s="1112"/>
      <c r="H97" s="1112"/>
      <c r="I97" s="1112"/>
      <c r="J97" s="1112"/>
      <c r="K97" s="1110"/>
      <c r="L97" s="1110"/>
      <c r="M97" s="1125"/>
    </row>
    <row r="98" spans="1:13" s="26" customFormat="1" ht="12.75" hidden="1">
      <c r="A98" s="1123" t="e">
        <f t="shared" si="39"/>
        <v>#REF!</v>
      </c>
      <c r="B98" s="1112"/>
      <c r="C98" s="1112"/>
      <c r="D98" s="1112"/>
      <c r="E98" s="1112"/>
      <c r="F98" s="1112"/>
      <c r="G98" s="1112"/>
      <c r="H98" s="1112"/>
      <c r="I98" s="1112"/>
      <c r="J98" s="1112"/>
      <c r="K98" s="1110"/>
      <c r="L98" s="1110"/>
      <c r="M98" s="1125"/>
    </row>
    <row r="99" spans="1:13" s="26" customFormat="1" ht="12.75" hidden="1">
      <c r="A99" s="1123" t="e">
        <f t="shared" si="39"/>
        <v>#REF!</v>
      </c>
      <c r="B99" s="1112"/>
      <c r="C99" s="1112"/>
      <c r="D99" s="1112"/>
      <c r="E99" s="1112"/>
      <c r="F99" s="1112"/>
      <c r="G99" s="1112"/>
      <c r="H99" s="1112"/>
      <c r="I99" s="1112"/>
      <c r="J99" s="1112"/>
      <c r="K99" s="1110"/>
      <c r="L99" s="1110"/>
      <c r="M99" s="1125"/>
    </row>
    <row r="100" spans="1:13" s="26" customFormat="1" ht="12.75" hidden="1">
      <c r="A100" s="1123" t="e">
        <f t="shared" si="39"/>
        <v>#REF!</v>
      </c>
      <c r="B100" s="1112"/>
      <c r="C100" s="1112"/>
      <c r="D100" s="1112"/>
      <c r="E100" s="1112"/>
      <c r="F100" s="1112"/>
      <c r="G100" s="1112"/>
      <c r="H100" s="1112"/>
      <c r="I100" s="1112"/>
      <c r="J100" s="1112"/>
      <c r="K100" s="1110"/>
      <c r="L100" s="1110"/>
      <c r="M100" s="1125"/>
    </row>
    <row r="101" spans="1:13" s="26" customFormat="1" ht="12.75" hidden="1">
      <c r="A101" s="1123" t="e">
        <f t="shared" si="39"/>
        <v>#REF!</v>
      </c>
      <c r="B101" s="1112"/>
      <c r="C101" s="1112"/>
      <c r="D101" s="1112"/>
      <c r="E101" s="1112"/>
      <c r="F101" s="1112"/>
      <c r="G101" s="1112"/>
      <c r="H101" s="1112"/>
      <c r="I101" s="1112"/>
      <c r="J101" s="1112"/>
      <c r="K101" s="1110"/>
      <c r="L101" s="1110"/>
      <c r="M101" s="1125"/>
    </row>
    <row r="102" spans="1:13" s="26" customFormat="1" ht="12.75" hidden="1">
      <c r="A102" s="1123" t="e">
        <f t="shared" si="39"/>
        <v>#REF!</v>
      </c>
      <c r="B102" s="1112"/>
      <c r="C102" s="1112"/>
      <c r="D102" s="1112"/>
      <c r="E102" s="1112"/>
      <c r="F102" s="1112"/>
      <c r="G102" s="1112"/>
      <c r="H102" s="1112"/>
      <c r="I102" s="1112"/>
      <c r="J102" s="1112"/>
      <c r="K102" s="1110"/>
      <c r="L102" s="1110"/>
      <c r="M102" s="1125"/>
    </row>
    <row r="103" spans="1:13" s="26" customFormat="1" ht="12.75" hidden="1">
      <c r="A103" s="1123" t="e">
        <f t="shared" si="39"/>
        <v>#REF!</v>
      </c>
      <c r="B103" s="1112"/>
      <c r="C103" s="1112"/>
      <c r="D103" s="1112"/>
      <c r="E103" s="1112"/>
      <c r="F103" s="1112"/>
      <c r="G103" s="1112"/>
      <c r="H103" s="1112"/>
      <c r="I103" s="1112"/>
      <c r="J103" s="1112"/>
      <c r="K103" s="1110"/>
      <c r="L103" s="1110"/>
      <c r="M103" s="1125"/>
    </row>
    <row r="104" spans="1:13" s="26" customFormat="1" ht="12.75" hidden="1">
      <c r="A104" s="1123" t="e">
        <f t="shared" si="39"/>
        <v>#REF!</v>
      </c>
      <c r="B104" s="1112"/>
      <c r="C104" s="1112"/>
      <c r="D104" s="1112"/>
      <c r="E104" s="1112"/>
      <c r="F104" s="1112"/>
      <c r="G104" s="1112"/>
      <c r="H104" s="1112"/>
      <c r="I104" s="1112"/>
      <c r="J104" s="1112"/>
      <c r="K104" s="1110"/>
      <c r="L104" s="1110"/>
      <c r="M104" s="1125"/>
    </row>
    <row r="105" spans="1:13" s="29" customFormat="1">
      <c r="A105" s="1130" t="s">
        <v>110</v>
      </c>
      <c r="B105" s="1114"/>
      <c r="C105" s="1114"/>
      <c r="D105" s="1114"/>
      <c r="E105" s="1114"/>
      <c r="F105" s="1114"/>
      <c r="G105" s="1114"/>
      <c r="H105" s="1114"/>
      <c r="I105" s="1114"/>
      <c r="J105" s="1114"/>
      <c r="K105" s="1111"/>
      <c r="L105" s="1111"/>
      <c r="M105" s="1133"/>
    </row>
    <row r="106" spans="1:13" s="26" customFormat="1" ht="12.75">
      <c r="A106" s="1123" t="e">
        <f>A89</f>
        <v>#REF!</v>
      </c>
      <c r="B106" s="1118" t="e">
        <f>ПрСбытПрП!#REF!</f>
        <v>#REF!</v>
      </c>
      <c r="C106" s="1118" t="e">
        <f>ПрСбытПрП!#REF!</f>
        <v>#REF!</v>
      </c>
      <c r="D106" s="1118" t="e">
        <f>ПрСбытПрП!#REF!</f>
        <v>#REF!</v>
      </c>
      <c r="E106" s="1118" t="e">
        <f>ПрСбытПрП!#REF!</f>
        <v>#REF!</v>
      </c>
      <c r="F106" s="1118" t="e">
        <f>ПрСбытПрП!#REF!</f>
        <v>#REF!</v>
      </c>
      <c r="G106" s="1118" t="e">
        <f>ПрСбытПрП!#REF!</f>
        <v>#REF!</v>
      </c>
      <c r="H106" s="1118" t="e">
        <f>ПрСбытПрП!#REF!</f>
        <v>#REF!</v>
      </c>
      <c r="I106" s="1118" t="e">
        <f>ПрСбытПрП!#REF!</f>
        <v>#REF!</v>
      </c>
      <c r="J106" s="1118" t="e">
        <f>ПрСбытПрП!#REF!</f>
        <v>#REF!</v>
      </c>
      <c r="K106" s="1118" t="e">
        <f>ПрСбытПрП!#REF!</f>
        <v>#REF!</v>
      </c>
      <c r="L106" s="1118" t="e">
        <f>ПрСбытПрП!#REF!</f>
        <v>#REF!</v>
      </c>
      <c r="M106" s="1128" t="e">
        <f>ПрСбытПрП!#REF!</f>
        <v>#REF!</v>
      </c>
    </row>
    <row r="107" spans="1:13" s="26" customFormat="1" ht="12.75">
      <c r="A107" s="1123" t="e">
        <f>A90</f>
        <v>#REF!</v>
      </c>
      <c r="B107" s="1118">
        <f>ПрСбытПрП!C7</f>
        <v>0</v>
      </c>
      <c r="C107" s="1118" t="e">
        <f>ПрСбытПрП!#REF!</f>
        <v>#REF!</v>
      </c>
      <c r="D107" s="1118" t="e">
        <f>ПрСбытПрП!#REF!</f>
        <v>#REF!</v>
      </c>
      <c r="E107" s="1118" t="e">
        <f>ПрСбытПрП!#REF!</f>
        <v>#REF!</v>
      </c>
      <c r="F107" s="1118" t="e">
        <f>ПрСбытПрП!#REF!</f>
        <v>#REF!</v>
      </c>
      <c r="G107" s="1118">
        <f>ПрСбытПрП!D7</f>
        <v>0</v>
      </c>
      <c r="H107" s="1118">
        <f>ПрСбытПрП!E7</f>
        <v>0</v>
      </c>
      <c r="I107" s="1118">
        <f>ПрСбытПрП!F7</f>
        <v>0</v>
      </c>
      <c r="J107" s="1118">
        <f>ПрСбытПрП!G7</f>
        <v>0</v>
      </c>
      <c r="K107" s="1118">
        <f>ПрСбытПрП!H7</f>
        <v>0</v>
      </c>
      <c r="L107" s="1118" t="e">
        <f>ПрСбытПрП!#REF!</f>
        <v>#REF!</v>
      </c>
      <c r="M107" s="1128" t="e">
        <f>ПрСбытПрП!#REF!</f>
        <v>#REF!</v>
      </c>
    </row>
    <row r="108" spans="1:13" s="26" customFormat="1" ht="12.75">
      <c r="A108" s="1123" t="e">
        <f>A91</f>
        <v>#REF!</v>
      </c>
      <c r="B108" s="1118" t="e">
        <f>ПрСбытПрП!#REF!</f>
        <v>#REF!</v>
      </c>
      <c r="C108" s="1118" t="e">
        <f>ПрСбытПрП!#REF!</f>
        <v>#REF!</v>
      </c>
      <c r="D108" s="1118" t="e">
        <f>ПрСбытПрП!#REF!</f>
        <v>#REF!</v>
      </c>
      <c r="E108" s="1118" t="e">
        <f>ПрСбытПрП!#REF!</f>
        <v>#REF!</v>
      </c>
      <c r="F108" s="1118" t="e">
        <f>ПрСбытПрП!#REF!</f>
        <v>#REF!</v>
      </c>
      <c r="G108" s="1118" t="e">
        <f>ПрСбытПрП!#REF!</f>
        <v>#REF!</v>
      </c>
      <c r="H108" s="1118" t="e">
        <f>ПрСбытПрП!#REF!</f>
        <v>#REF!</v>
      </c>
      <c r="I108" s="1118" t="e">
        <f>ПрСбытПрП!#REF!</f>
        <v>#REF!</v>
      </c>
      <c r="J108" s="1118" t="e">
        <f>ПрСбытПрП!#REF!</f>
        <v>#REF!</v>
      </c>
      <c r="K108" s="1118" t="e">
        <f>ПрСбытПрП!#REF!</f>
        <v>#REF!</v>
      </c>
      <c r="L108" s="1118" t="e">
        <f>ПрСбытПрП!#REF!</f>
        <v>#REF!</v>
      </c>
      <c r="M108" s="1128" t="e">
        <f>ПрСбытПрП!#REF!</f>
        <v>#REF!</v>
      </c>
    </row>
    <row r="109" spans="1:13" s="26" customFormat="1" ht="12.75" hidden="1">
      <c r="A109" s="1123" t="e">
        <f t="shared" ref="A109:A118" si="40">A92</f>
        <v>#REF!</v>
      </c>
      <c r="B109" s="1112"/>
      <c r="C109" s="1112"/>
      <c r="D109" s="1112"/>
      <c r="E109" s="1112"/>
      <c r="F109" s="1112"/>
      <c r="G109" s="1112"/>
      <c r="H109" s="1112"/>
      <c r="I109" s="1112"/>
      <c r="J109" s="1112"/>
      <c r="K109" s="1110"/>
      <c r="L109" s="1110"/>
      <c r="M109" s="1125"/>
    </row>
    <row r="110" spans="1:13" s="26" customFormat="1" ht="12.75" hidden="1">
      <c r="A110" s="1123" t="e">
        <f t="shared" si="40"/>
        <v>#REF!</v>
      </c>
      <c r="B110" s="1112"/>
      <c r="C110" s="1112"/>
      <c r="D110" s="1112"/>
      <c r="E110" s="1112"/>
      <c r="F110" s="1112"/>
      <c r="G110" s="1112"/>
      <c r="H110" s="1112"/>
      <c r="I110" s="1112"/>
      <c r="J110" s="1112"/>
      <c r="K110" s="1110"/>
      <c r="L110" s="1110"/>
      <c r="M110" s="1125"/>
    </row>
    <row r="111" spans="1:13" s="26" customFormat="1" ht="12.75" hidden="1">
      <c r="A111" s="1123" t="e">
        <f t="shared" si="40"/>
        <v>#REF!</v>
      </c>
      <c r="B111" s="1112"/>
      <c r="C111" s="1112"/>
      <c r="D111" s="1112"/>
      <c r="E111" s="1112"/>
      <c r="F111" s="1112"/>
      <c r="G111" s="1112"/>
      <c r="H111" s="1112"/>
      <c r="I111" s="1112"/>
      <c r="J111" s="1112"/>
      <c r="K111" s="1110"/>
      <c r="L111" s="1110"/>
      <c r="M111" s="1125"/>
    </row>
    <row r="112" spans="1:13" s="26" customFormat="1" ht="12.75" hidden="1">
      <c r="A112" s="1123" t="e">
        <f t="shared" si="40"/>
        <v>#REF!</v>
      </c>
      <c r="B112" s="1112"/>
      <c r="C112" s="1112"/>
      <c r="D112" s="1112"/>
      <c r="E112" s="1112"/>
      <c r="F112" s="1112"/>
      <c r="G112" s="1112"/>
      <c r="H112" s="1112"/>
      <c r="I112" s="1112"/>
      <c r="J112" s="1112"/>
      <c r="K112" s="1110"/>
      <c r="L112" s="1110"/>
      <c r="M112" s="1125"/>
    </row>
    <row r="113" spans="1:13" s="26" customFormat="1" ht="12.75" hidden="1">
      <c r="A113" s="1123" t="e">
        <f t="shared" si="40"/>
        <v>#REF!</v>
      </c>
      <c r="B113" s="1112"/>
      <c r="C113" s="1112"/>
      <c r="D113" s="1112"/>
      <c r="E113" s="1112"/>
      <c r="F113" s="1112"/>
      <c r="G113" s="1112"/>
      <c r="H113" s="1112"/>
      <c r="I113" s="1112"/>
      <c r="J113" s="1112"/>
      <c r="K113" s="1110"/>
      <c r="L113" s="1110"/>
      <c r="M113" s="1125"/>
    </row>
    <row r="114" spans="1:13" s="26" customFormat="1" ht="12.75" hidden="1">
      <c r="A114" s="1123" t="e">
        <f t="shared" si="40"/>
        <v>#REF!</v>
      </c>
      <c r="B114" s="1112"/>
      <c r="C114" s="1112"/>
      <c r="D114" s="1112"/>
      <c r="E114" s="1112"/>
      <c r="F114" s="1112"/>
      <c r="G114" s="1112"/>
      <c r="H114" s="1112"/>
      <c r="I114" s="1112"/>
      <c r="J114" s="1112"/>
      <c r="K114" s="1110"/>
      <c r="L114" s="1110"/>
      <c r="M114" s="1125"/>
    </row>
    <row r="115" spans="1:13" s="26" customFormat="1" ht="12.75" hidden="1">
      <c r="A115" s="1123" t="e">
        <f t="shared" si="40"/>
        <v>#REF!</v>
      </c>
      <c r="B115" s="1112"/>
      <c r="C115" s="1112"/>
      <c r="D115" s="1112"/>
      <c r="E115" s="1112"/>
      <c r="F115" s="1112"/>
      <c r="G115" s="1112"/>
      <c r="H115" s="1112"/>
      <c r="I115" s="1112"/>
      <c r="J115" s="1112"/>
      <c r="K115" s="1110"/>
      <c r="L115" s="1110"/>
      <c r="M115" s="1125"/>
    </row>
    <row r="116" spans="1:13" s="26" customFormat="1" ht="12.75" hidden="1">
      <c r="A116" s="1123" t="e">
        <f t="shared" si="40"/>
        <v>#REF!</v>
      </c>
      <c r="B116" s="1112"/>
      <c r="C116" s="1112"/>
      <c r="D116" s="1112"/>
      <c r="E116" s="1112"/>
      <c r="F116" s="1112"/>
      <c r="G116" s="1112"/>
      <c r="H116" s="1112"/>
      <c r="I116" s="1112"/>
      <c r="J116" s="1112"/>
      <c r="K116" s="1110"/>
      <c r="L116" s="1110"/>
      <c r="M116" s="1125"/>
    </row>
    <row r="117" spans="1:13" s="26" customFormat="1" ht="12.75" hidden="1">
      <c r="A117" s="1123" t="e">
        <f t="shared" si="40"/>
        <v>#REF!</v>
      </c>
      <c r="B117" s="1112"/>
      <c r="C117" s="1112"/>
      <c r="D117" s="1112"/>
      <c r="E117" s="1112"/>
      <c r="F117" s="1112"/>
      <c r="G117" s="1112"/>
      <c r="H117" s="1112"/>
      <c r="I117" s="1112"/>
      <c r="J117" s="1112"/>
      <c r="K117" s="1110"/>
      <c r="L117" s="1110"/>
      <c r="M117" s="1125"/>
    </row>
    <row r="118" spans="1:13" s="26" customFormat="1" ht="12.75" hidden="1">
      <c r="A118" s="1123" t="e">
        <f t="shared" si="40"/>
        <v>#REF!</v>
      </c>
      <c r="B118" s="1112"/>
      <c r="C118" s="1112"/>
      <c r="D118" s="1112"/>
      <c r="E118" s="1112"/>
      <c r="F118" s="1112"/>
      <c r="G118" s="1112"/>
      <c r="H118" s="1112"/>
      <c r="I118" s="1112"/>
      <c r="J118" s="1112"/>
      <c r="K118" s="1110"/>
      <c r="L118" s="1110"/>
      <c r="M118" s="1125"/>
    </row>
    <row r="119" spans="1:13" s="26" customFormat="1" ht="12.75" hidden="1">
      <c r="A119" s="1123" t="e">
        <f>A102</f>
        <v>#REF!</v>
      </c>
      <c r="B119" s="1112"/>
      <c r="C119" s="1112"/>
      <c r="D119" s="1112"/>
      <c r="E119" s="1112"/>
      <c r="F119" s="1112"/>
      <c r="G119" s="1112"/>
      <c r="H119" s="1112"/>
      <c r="I119" s="1112"/>
      <c r="J119" s="1112"/>
      <c r="K119" s="1110"/>
      <c r="L119" s="1110"/>
      <c r="M119" s="1125"/>
    </row>
    <row r="120" spans="1:13" s="26" customFormat="1" ht="14.25" hidden="1" customHeight="1">
      <c r="A120" s="1123" t="e">
        <f t="shared" ref="A120:A121" si="41">A103</f>
        <v>#REF!</v>
      </c>
      <c r="B120" s="1112"/>
      <c r="C120" s="1112" t="e">
        <f>ПрСбытПрП!#REF!/1000</f>
        <v>#REF!</v>
      </c>
      <c r="D120" s="1112" t="e">
        <f>ПрСбытПрП!#REF!/1000</f>
        <v>#REF!</v>
      </c>
      <c r="E120" s="1112" t="e">
        <f>ПрСбытПрП!#REF!/1000</f>
        <v>#REF!</v>
      </c>
      <c r="F120" s="1112" t="e">
        <f>ПрСбытПрП!#REF!/1000</f>
        <v>#REF!</v>
      </c>
      <c r="G120" s="1112" t="e">
        <f>ПрСбытПрП!#REF!/1000</f>
        <v>#REF!</v>
      </c>
      <c r="H120" s="1112" t="e">
        <f>ПрСбытПрП!#REF!/1000</f>
        <v>#REF!</v>
      </c>
      <c r="I120" s="1112" t="e">
        <f>ПрСбытПрП!#REF!/1000</f>
        <v>#REF!</v>
      </c>
      <c r="J120" s="1112" t="e">
        <f>ПрСбытПрП!#REF!/1000</f>
        <v>#REF!</v>
      </c>
      <c r="K120" s="1110"/>
      <c r="L120" s="1110"/>
      <c r="M120" s="1125"/>
    </row>
    <row r="121" spans="1:13" s="26" customFormat="1" ht="14.25" hidden="1" customHeight="1" thickBot="1">
      <c r="A121" s="1123" t="e">
        <f t="shared" si="41"/>
        <v>#REF!</v>
      </c>
      <c r="B121" s="1112"/>
      <c r="C121" s="1112"/>
      <c r="D121" s="1112"/>
      <c r="E121" s="1112"/>
      <c r="F121" s="1112"/>
      <c r="G121" s="1112"/>
      <c r="H121" s="1112"/>
      <c r="I121" s="1112"/>
      <c r="J121" s="1112"/>
      <c r="K121" s="1110"/>
      <c r="L121" s="1110"/>
      <c r="M121" s="1125"/>
    </row>
    <row r="122" spans="1:13" s="1" customFormat="1">
      <c r="A122" s="1134" t="s">
        <v>334</v>
      </c>
      <c r="B122" s="1115" t="e">
        <f t="shared" ref="B122:M122" si="42">SUM(B123:B125)</f>
        <v>#REF!</v>
      </c>
      <c r="C122" s="1115" t="e">
        <f t="shared" si="42"/>
        <v>#REF!</v>
      </c>
      <c r="D122" s="1115" t="e">
        <f t="shared" si="42"/>
        <v>#REF!</v>
      </c>
      <c r="E122" s="1115" t="e">
        <f t="shared" si="42"/>
        <v>#REF!</v>
      </c>
      <c r="F122" s="1115" t="e">
        <f t="shared" si="42"/>
        <v>#REF!</v>
      </c>
      <c r="G122" s="1115" t="e">
        <f t="shared" si="42"/>
        <v>#REF!</v>
      </c>
      <c r="H122" s="1115" t="e">
        <f t="shared" si="42"/>
        <v>#REF!</v>
      </c>
      <c r="I122" s="1115" t="e">
        <f t="shared" si="42"/>
        <v>#REF!</v>
      </c>
      <c r="J122" s="1115" t="e">
        <f t="shared" si="42"/>
        <v>#REF!</v>
      </c>
      <c r="K122" s="1115" t="e">
        <f>SUM(K123:K125)</f>
        <v>#REF!</v>
      </c>
      <c r="L122" s="1115" t="e">
        <f t="shared" si="42"/>
        <v>#REF!</v>
      </c>
      <c r="M122" s="1135" t="e">
        <f t="shared" si="42"/>
        <v>#REF!</v>
      </c>
    </row>
    <row r="123" spans="1:13" s="26" customFormat="1" ht="12.75">
      <c r="A123" s="1123" t="e">
        <f>A89</f>
        <v>#REF!</v>
      </c>
      <c r="B123" s="1118" t="e">
        <f t="shared" ref="B123:M125" si="43">B55/B89</f>
        <v>#REF!</v>
      </c>
      <c r="C123" s="1118" t="e">
        <f t="shared" si="43"/>
        <v>#REF!</v>
      </c>
      <c r="D123" s="1118" t="e">
        <f t="shared" si="43"/>
        <v>#REF!</v>
      </c>
      <c r="E123" s="1118" t="e">
        <f t="shared" si="43"/>
        <v>#REF!</v>
      </c>
      <c r="F123" s="1118" t="e">
        <f t="shared" si="43"/>
        <v>#REF!</v>
      </c>
      <c r="G123" s="1118" t="e">
        <f t="shared" si="43"/>
        <v>#REF!</v>
      </c>
      <c r="H123" s="1118" t="e">
        <f t="shared" si="43"/>
        <v>#REF!</v>
      </c>
      <c r="I123" s="1118" t="e">
        <f t="shared" si="43"/>
        <v>#REF!</v>
      </c>
      <c r="J123" s="1118" t="e">
        <f t="shared" si="43"/>
        <v>#REF!</v>
      </c>
      <c r="K123" s="1118" t="e">
        <f t="shared" si="43"/>
        <v>#REF!</v>
      </c>
      <c r="L123" s="1118" t="e">
        <f t="shared" si="43"/>
        <v>#REF!</v>
      </c>
      <c r="M123" s="1128" t="e">
        <f t="shared" si="43"/>
        <v>#REF!</v>
      </c>
    </row>
    <row r="124" spans="1:13" s="26" customFormat="1" ht="12.75">
      <c r="A124" s="1123" t="e">
        <f>A90</f>
        <v>#REF!</v>
      </c>
      <c r="B124" s="1118" t="e">
        <f t="shared" si="43"/>
        <v>#REF!</v>
      </c>
      <c r="C124" s="1118" t="e">
        <f t="shared" si="43"/>
        <v>#REF!</v>
      </c>
      <c r="D124" s="1118" t="e">
        <f t="shared" si="43"/>
        <v>#REF!</v>
      </c>
      <c r="E124" s="1118" t="e">
        <f t="shared" si="43"/>
        <v>#REF!</v>
      </c>
      <c r="F124" s="1118" t="e">
        <f t="shared" si="43"/>
        <v>#REF!</v>
      </c>
      <c r="G124" s="1118" t="e">
        <f t="shared" si="43"/>
        <v>#REF!</v>
      </c>
      <c r="H124" s="1118" t="e">
        <f t="shared" si="43"/>
        <v>#REF!</v>
      </c>
      <c r="I124" s="1118" t="e">
        <f t="shared" si="43"/>
        <v>#REF!</v>
      </c>
      <c r="J124" s="1118" t="e">
        <f t="shared" si="43"/>
        <v>#REF!</v>
      </c>
      <c r="K124" s="1118" t="e">
        <f t="shared" si="43"/>
        <v>#REF!</v>
      </c>
      <c r="L124" s="1118" t="e">
        <f t="shared" si="43"/>
        <v>#REF!</v>
      </c>
      <c r="M124" s="1128" t="e">
        <f t="shared" si="43"/>
        <v>#REF!</v>
      </c>
    </row>
    <row r="125" spans="1:13" s="26" customFormat="1" ht="12.75">
      <c r="A125" s="1123" t="e">
        <f>A91</f>
        <v>#REF!</v>
      </c>
      <c r="B125" s="1112" t="e">
        <f t="shared" si="43"/>
        <v>#REF!</v>
      </c>
      <c r="C125" s="1112" t="e">
        <f t="shared" si="43"/>
        <v>#REF!</v>
      </c>
      <c r="D125" s="1112" t="e">
        <f t="shared" si="43"/>
        <v>#REF!</v>
      </c>
      <c r="E125" s="1112" t="e">
        <f t="shared" si="43"/>
        <v>#REF!</v>
      </c>
      <c r="F125" s="1112" t="e">
        <f t="shared" si="43"/>
        <v>#REF!</v>
      </c>
      <c r="G125" s="1112" t="e">
        <f t="shared" si="43"/>
        <v>#REF!</v>
      </c>
      <c r="H125" s="1112" t="e">
        <f t="shared" si="43"/>
        <v>#REF!</v>
      </c>
      <c r="I125" s="1112" t="e">
        <f t="shared" si="43"/>
        <v>#REF!</v>
      </c>
      <c r="J125" s="1112" t="e">
        <f t="shared" si="43"/>
        <v>#REF!</v>
      </c>
      <c r="K125" s="1112" t="e">
        <f t="shared" si="43"/>
        <v>#REF!</v>
      </c>
      <c r="L125" s="1112" t="e">
        <f t="shared" si="43"/>
        <v>#REF!</v>
      </c>
      <c r="M125" s="1129" t="e">
        <f t="shared" si="43"/>
        <v>#REF!</v>
      </c>
    </row>
    <row r="126" spans="1:13" s="26" customFormat="1">
      <c r="A126" s="1134" t="s">
        <v>335</v>
      </c>
      <c r="B126" s="1115" t="e">
        <f t="shared" ref="B126:M126" si="44">B4-B122</f>
        <v>#REF!</v>
      </c>
      <c r="C126" s="1115" t="e">
        <f t="shared" si="44"/>
        <v>#REF!</v>
      </c>
      <c r="D126" s="1115" t="e">
        <f t="shared" si="44"/>
        <v>#REF!</v>
      </c>
      <c r="E126" s="1115" t="e">
        <f t="shared" si="44"/>
        <v>#REF!</v>
      </c>
      <c r="F126" s="1115" t="e">
        <f t="shared" si="44"/>
        <v>#REF!</v>
      </c>
      <c r="G126" s="1115" t="e">
        <f t="shared" si="44"/>
        <v>#REF!</v>
      </c>
      <c r="H126" s="1115" t="e">
        <f t="shared" si="44"/>
        <v>#REF!</v>
      </c>
      <c r="I126" s="1115" t="e">
        <f t="shared" si="44"/>
        <v>#REF!</v>
      </c>
      <c r="J126" s="1115" t="e">
        <f>J4-J122</f>
        <v>#REF!</v>
      </c>
      <c r="K126" s="1115" t="e">
        <f>K4-K122</f>
        <v>#REF!</v>
      </c>
      <c r="L126" s="1115" t="e">
        <f t="shared" si="44"/>
        <v>#REF!</v>
      </c>
      <c r="M126" s="1135" t="e">
        <f t="shared" si="44"/>
        <v>#REF!</v>
      </c>
    </row>
    <row r="127" spans="1:13" s="26" customFormat="1" ht="12.75">
      <c r="A127" s="1123" t="e">
        <f>A106</f>
        <v>#REF!</v>
      </c>
      <c r="B127" s="1118" t="e">
        <f t="shared" ref="B127:M127" si="45">B5-B123</f>
        <v>#REF!</v>
      </c>
      <c r="C127" s="1118" t="e">
        <f t="shared" si="45"/>
        <v>#REF!</v>
      </c>
      <c r="D127" s="1118" t="e">
        <f t="shared" si="45"/>
        <v>#REF!</v>
      </c>
      <c r="E127" s="1118" t="e">
        <f t="shared" si="45"/>
        <v>#REF!</v>
      </c>
      <c r="F127" s="1118" t="e">
        <f t="shared" si="45"/>
        <v>#REF!</v>
      </c>
      <c r="G127" s="1118" t="e">
        <f t="shared" si="45"/>
        <v>#REF!</v>
      </c>
      <c r="H127" s="1118" t="e">
        <f t="shared" si="45"/>
        <v>#REF!</v>
      </c>
      <c r="I127" s="1118" t="e">
        <f t="shared" si="45"/>
        <v>#REF!</v>
      </c>
      <c r="J127" s="1118" t="e">
        <f t="shared" si="45"/>
        <v>#REF!</v>
      </c>
      <c r="K127" s="1118" t="e">
        <f t="shared" si="45"/>
        <v>#REF!</v>
      </c>
      <c r="L127" s="1118" t="e">
        <f t="shared" si="45"/>
        <v>#REF!</v>
      </c>
      <c r="M127" s="1128" t="e">
        <f t="shared" si="45"/>
        <v>#REF!</v>
      </c>
    </row>
    <row r="128" spans="1:13" s="26" customFormat="1" ht="12.75">
      <c r="A128" s="1123" t="e">
        <f>A107</f>
        <v>#REF!</v>
      </c>
      <c r="B128" s="1118" t="e">
        <f t="shared" ref="B128:M128" si="46">B6-B124</f>
        <v>#REF!</v>
      </c>
      <c r="C128" s="1118" t="e">
        <f t="shared" si="46"/>
        <v>#REF!</v>
      </c>
      <c r="D128" s="1118" t="e">
        <f t="shared" si="46"/>
        <v>#REF!</v>
      </c>
      <c r="E128" s="1118" t="e">
        <f t="shared" si="46"/>
        <v>#REF!</v>
      </c>
      <c r="F128" s="1118" t="e">
        <f t="shared" si="46"/>
        <v>#REF!</v>
      </c>
      <c r="G128" s="1118" t="e">
        <f t="shared" si="46"/>
        <v>#REF!</v>
      </c>
      <c r="H128" s="1118" t="e">
        <f t="shared" si="46"/>
        <v>#REF!</v>
      </c>
      <c r="I128" s="1118" t="e">
        <f t="shared" si="46"/>
        <v>#REF!</v>
      </c>
      <c r="J128" s="1118" t="e">
        <f t="shared" si="46"/>
        <v>#REF!</v>
      </c>
      <c r="K128" s="1118" t="e">
        <f t="shared" si="46"/>
        <v>#REF!</v>
      </c>
      <c r="L128" s="1118" t="e">
        <f t="shared" si="46"/>
        <v>#REF!</v>
      </c>
      <c r="M128" s="1128" t="e">
        <f t="shared" si="46"/>
        <v>#REF!</v>
      </c>
    </row>
    <row r="129" spans="1:13" s="26" customFormat="1" ht="12.75">
      <c r="A129" s="1123" t="e">
        <f>A108</f>
        <v>#REF!</v>
      </c>
      <c r="B129" s="1112" t="e">
        <f t="shared" ref="B129:M129" si="47">B7-B125</f>
        <v>#REF!</v>
      </c>
      <c r="C129" s="1112" t="e">
        <f t="shared" si="47"/>
        <v>#REF!</v>
      </c>
      <c r="D129" s="1112" t="e">
        <f t="shared" si="47"/>
        <v>#REF!</v>
      </c>
      <c r="E129" s="1112" t="e">
        <f t="shared" si="47"/>
        <v>#REF!</v>
      </c>
      <c r="F129" s="1112" t="e">
        <f t="shared" si="47"/>
        <v>#REF!</v>
      </c>
      <c r="G129" s="1112" t="e">
        <f t="shared" si="47"/>
        <v>#REF!</v>
      </c>
      <c r="H129" s="1112" t="e">
        <f t="shared" si="47"/>
        <v>#REF!</v>
      </c>
      <c r="I129" s="1112" t="e">
        <f t="shared" si="47"/>
        <v>#REF!</v>
      </c>
      <c r="J129" s="1112" t="e">
        <f t="shared" si="47"/>
        <v>#REF!</v>
      </c>
      <c r="K129" s="1112" t="e">
        <f t="shared" si="47"/>
        <v>#REF!</v>
      </c>
      <c r="L129" s="1112" t="e">
        <f t="shared" si="47"/>
        <v>#REF!</v>
      </c>
      <c r="M129" s="1129" t="e">
        <f t="shared" si="47"/>
        <v>#REF!</v>
      </c>
    </row>
    <row r="130" spans="1:13" s="1" customFormat="1">
      <c r="A130" s="2274" t="s">
        <v>111</v>
      </c>
      <c r="B130" s="2275"/>
      <c r="C130" s="2275"/>
      <c r="D130" s="2275"/>
      <c r="E130" s="2275"/>
      <c r="F130" s="2275"/>
      <c r="G130" s="2275"/>
      <c r="H130" s="2275"/>
      <c r="I130" s="2275"/>
      <c r="J130" s="2275"/>
      <c r="K130" s="2275"/>
      <c r="L130" s="2275"/>
      <c r="M130" s="2276"/>
    </row>
    <row r="131" spans="1:13" s="26" customFormat="1" ht="12.75">
      <c r="A131" s="1123" t="e">
        <f>A123</f>
        <v>#REF!</v>
      </c>
      <c r="B131" s="1112" t="e">
        <f t="shared" ref="B131:M131" si="48">B123/B106</f>
        <v>#REF!</v>
      </c>
      <c r="C131" s="1112" t="e">
        <f t="shared" si="48"/>
        <v>#REF!</v>
      </c>
      <c r="D131" s="1112" t="e">
        <f t="shared" si="48"/>
        <v>#REF!</v>
      </c>
      <c r="E131" s="1112" t="e">
        <f t="shared" si="48"/>
        <v>#REF!</v>
      </c>
      <c r="F131" s="1112" t="e">
        <f t="shared" si="48"/>
        <v>#REF!</v>
      </c>
      <c r="G131" s="1112" t="e">
        <f t="shared" si="48"/>
        <v>#REF!</v>
      </c>
      <c r="H131" s="1112" t="e">
        <f t="shared" si="48"/>
        <v>#REF!</v>
      </c>
      <c r="I131" s="1112" t="e">
        <f t="shared" si="48"/>
        <v>#REF!</v>
      </c>
      <c r="J131" s="1112" t="e">
        <f t="shared" si="48"/>
        <v>#REF!</v>
      </c>
      <c r="K131" s="1112" t="e">
        <f t="shared" si="48"/>
        <v>#REF!</v>
      </c>
      <c r="L131" s="1112" t="e">
        <f t="shared" si="48"/>
        <v>#REF!</v>
      </c>
      <c r="M131" s="1129" t="e">
        <f t="shared" si="48"/>
        <v>#REF!</v>
      </c>
    </row>
    <row r="132" spans="1:13" s="26" customFormat="1" ht="12.75">
      <c r="A132" s="1123" t="e">
        <f>A124</f>
        <v>#REF!</v>
      </c>
      <c r="B132" s="1112" t="e">
        <f t="shared" ref="B132:F133" si="49">B124/B107</f>
        <v>#REF!</v>
      </c>
      <c r="C132" s="1112" t="e">
        <f t="shared" si="49"/>
        <v>#REF!</v>
      </c>
      <c r="D132" s="1112" t="e">
        <f t="shared" si="49"/>
        <v>#REF!</v>
      </c>
      <c r="E132" s="1112" t="e">
        <f t="shared" si="49"/>
        <v>#REF!</v>
      </c>
      <c r="F132" s="1112" t="e">
        <f t="shared" si="49"/>
        <v>#REF!</v>
      </c>
      <c r="G132" s="1112" t="e">
        <f>G124/G107</f>
        <v>#REF!</v>
      </c>
      <c r="H132" s="1112" t="e">
        <f>H124/H107</f>
        <v>#REF!</v>
      </c>
      <c r="I132" s="1112" t="e">
        <f>I124/I107</f>
        <v>#REF!</v>
      </c>
      <c r="J132" s="1112" t="e">
        <f>J124/J107</f>
        <v>#REF!</v>
      </c>
      <c r="K132" s="1112" t="e">
        <f t="shared" ref="K132:M132" si="50">K124/K107</f>
        <v>#REF!</v>
      </c>
      <c r="L132" s="1112" t="e">
        <f t="shared" si="50"/>
        <v>#REF!</v>
      </c>
      <c r="M132" s="1129" t="e">
        <f t="shared" si="50"/>
        <v>#REF!</v>
      </c>
    </row>
    <row r="133" spans="1:13" s="26" customFormat="1" ht="13.5" thickBot="1">
      <c r="A133" s="1136" t="e">
        <f>A125</f>
        <v>#REF!</v>
      </c>
      <c r="B133" s="1137" t="e">
        <f t="shared" si="49"/>
        <v>#REF!</v>
      </c>
      <c r="C133" s="1137" t="e">
        <f t="shared" si="49"/>
        <v>#REF!</v>
      </c>
      <c r="D133" s="1137" t="e">
        <f t="shared" si="49"/>
        <v>#REF!</v>
      </c>
      <c r="E133" s="1137" t="e">
        <f t="shared" si="49"/>
        <v>#REF!</v>
      </c>
      <c r="F133" s="1137" t="e">
        <f t="shared" si="49"/>
        <v>#REF!</v>
      </c>
      <c r="G133" s="1137" t="e">
        <f t="shared" ref="G133:M133" si="51">G125/G108</f>
        <v>#REF!</v>
      </c>
      <c r="H133" s="1137" t="e">
        <f t="shared" si="51"/>
        <v>#REF!</v>
      </c>
      <c r="I133" s="1137" t="e">
        <f t="shared" si="51"/>
        <v>#REF!</v>
      </c>
      <c r="J133" s="1137" t="e">
        <f t="shared" si="51"/>
        <v>#REF!</v>
      </c>
      <c r="K133" s="1137" t="e">
        <f t="shared" si="51"/>
        <v>#REF!</v>
      </c>
      <c r="L133" s="1137" t="e">
        <f t="shared" si="51"/>
        <v>#REF!</v>
      </c>
      <c r="M133" s="1138" t="e">
        <f t="shared" si="51"/>
        <v>#REF!</v>
      </c>
    </row>
    <row r="134" spans="1:13" s="28" customFormat="1" thickTop="1">
      <c r="A134" s="30"/>
      <c r="B134" s="31"/>
      <c r="C134" s="32"/>
      <c r="D134" s="32"/>
      <c r="E134" s="32"/>
      <c r="F134" s="32"/>
      <c r="G134" s="32"/>
      <c r="H134" s="32"/>
      <c r="I134" s="32"/>
      <c r="J134" s="32"/>
    </row>
    <row r="135" spans="1:13" s="1" customFormat="1">
      <c r="A135" s="2253" t="s">
        <v>58</v>
      </c>
      <c r="B135" s="2254"/>
      <c r="C135" s="2254"/>
      <c r="D135" s="2254"/>
      <c r="E135" s="2254"/>
      <c r="F135" s="2254"/>
      <c r="G135" s="2254"/>
      <c r="H135" s="2254"/>
      <c r="I135" s="2254"/>
      <c r="J135" s="2255"/>
    </row>
    <row r="136" spans="1:13" s="4" customFormat="1">
      <c r="A136" s="2110" t="s">
        <v>19</v>
      </c>
      <c r="B136" s="2110"/>
      <c r="C136" s="2110"/>
      <c r="D136" s="2110"/>
      <c r="E136" s="2110"/>
      <c r="F136" s="2110"/>
      <c r="G136" s="2110"/>
      <c r="H136" s="2110"/>
      <c r="I136" s="2110"/>
      <c r="J136" s="2110"/>
    </row>
    <row r="137" spans="1:13" s="4" customFormat="1" ht="18.75" customHeight="1">
      <c r="A137" s="2113" t="s">
        <v>34</v>
      </c>
      <c r="B137" s="2278"/>
      <c r="C137" s="2278"/>
      <c r="D137" s="2278"/>
      <c r="E137" s="2278"/>
      <c r="F137" s="2278"/>
      <c r="G137" s="2278"/>
      <c r="H137" s="2278"/>
      <c r="I137" s="2278"/>
      <c r="J137" s="2114"/>
    </row>
    <row r="138" spans="1:13" s="4" customFormat="1" ht="18.75" customHeight="1">
      <c r="A138" s="2270"/>
      <c r="B138" s="2271"/>
      <c r="C138" s="2271"/>
      <c r="D138" s="2271"/>
      <c r="E138" s="2271"/>
      <c r="F138" s="2271"/>
      <c r="G138" s="2271"/>
      <c r="H138" s="2271"/>
      <c r="I138" s="2271"/>
      <c r="J138" s="2272"/>
    </row>
    <row r="139" spans="1:13" s="4" customFormat="1" ht="15.75" customHeight="1">
      <c r="A139" s="2113" t="s">
        <v>35</v>
      </c>
      <c r="B139" s="2278"/>
      <c r="C139" s="2278"/>
      <c r="D139" s="2278"/>
      <c r="E139" s="2278"/>
      <c r="F139" s="2278"/>
      <c r="G139" s="2278"/>
      <c r="H139" s="2278"/>
      <c r="I139" s="2278"/>
      <c r="J139" s="2114"/>
    </row>
    <row r="140" spans="1:13" s="4" customFormat="1">
      <c r="A140" s="2115"/>
      <c r="B140" s="2269"/>
      <c r="C140" s="2269"/>
      <c r="D140" s="2269"/>
      <c r="E140" s="2269"/>
      <c r="F140" s="2269"/>
      <c r="G140" s="2269"/>
      <c r="H140" s="2269"/>
      <c r="I140" s="2269"/>
      <c r="J140" s="2116"/>
    </row>
    <row r="141" spans="1:13" s="4" customFormat="1">
      <c r="A141" s="2270"/>
      <c r="B141" s="2271"/>
      <c r="C141" s="2271"/>
      <c r="D141" s="2271"/>
      <c r="E141" s="2271"/>
      <c r="F141" s="2271"/>
      <c r="G141" s="2271"/>
      <c r="H141" s="2271"/>
      <c r="I141" s="2271"/>
      <c r="J141" s="2272"/>
    </row>
    <row r="142" spans="1:13" s="4" customFormat="1" ht="21" customHeight="1">
      <c r="A142" s="2110" t="s">
        <v>36</v>
      </c>
      <c r="B142" s="2110"/>
      <c r="C142" s="2110"/>
      <c r="D142" s="2110"/>
      <c r="E142" s="2110"/>
      <c r="F142" s="2110"/>
      <c r="G142" s="2110"/>
      <c r="H142" s="2110"/>
      <c r="I142" s="2110"/>
      <c r="J142" s="2110"/>
    </row>
    <row r="143" spans="1:13" s="1" customFormat="1">
      <c r="A143" s="45"/>
      <c r="B143" s="45"/>
      <c r="C143" s="45"/>
      <c r="D143" s="45"/>
      <c r="E143" s="45"/>
      <c r="F143" s="45"/>
      <c r="G143" s="45"/>
      <c r="H143" s="45"/>
      <c r="I143" s="45"/>
      <c r="J143" s="45"/>
    </row>
    <row r="144" spans="1:13" s="28" customFormat="1" ht="19.5" customHeight="1">
      <c r="K144" s="87"/>
    </row>
    <row r="145" spans="1:10" s="28" customFormat="1" ht="15">
      <c r="A145" s="30"/>
      <c r="B145" s="31"/>
      <c r="C145" s="32"/>
      <c r="D145" s="32"/>
      <c r="E145" s="32"/>
      <c r="F145" s="32"/>
      <c r="G145" s="32"/>
      <c r="H145" s="32"/>
      <c r="I145" s="32"/>
      <c r="J145" s="32"/>
    </row>
  </sheetData>
  <mergeCells count="9">
    <mergeCell ref="A142:J142"/>
    <mergeCell ref="A130:M130"/>
    <mergeCell ref="A1:M1"/>
    <mergeCell ref="A2:J2"/>
    <mergeCell ref="O3:X3"/>
    <mergeCell ref="A135:J135"/>
    <mergeCell ref="A136:J136"/>
    <mergeCell ref="A137:J138"/>
    <mergeCell ref="A139:J141"/>
  </mergeCells>
  <phoneticPr fontId="6" type="noConversion"/>
  <hyperlinks>
    <hyperlink ref="O3:X3" location="начало!A1" display="Переход на начальную страницу"/>
  </hyperlinks>
  <pageMargins left="1.05" right="0.75" top="0.67" bottom="0.67" header="0.65" footer="0.5"/>
  <pageSetup paperSize="9" scale="8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view="pageBreakPreview" zoomScale="90" zoomScaleNormal="100" zoomScaleSheetLayoutView="90" workbookViewId="0">
      <selection activeCell="K29" sqref="K29"/>
    </sheetView>
  </sheetViews>
  <sheetFormatPr defaultRowHeight="15.75"/>
  <cols>
    <col min="1" max="1" width="9.140625" style="1"/>
    <col min="2" max="2" width="9.140625" style="2"/>
    <col min="3" max="3" width="57.42578125" style="1" customWidth="1"/>
    <col min="4" max="4" width="17.28515625" style="1" customWidth="1"/>
    <col min="5" max="5" width="16.7109375" style="1" customWidth="1"/>
    <col min="6" max="6" width="16.42578125" style="1" customWidth="1"/>
    <col min="7" max="7" width="14.28515625" style="1" customWidth="1"/>
    <col min="8" max="32" width="9.140625" style="1"/>
  </cols>
  <sheetData>
    <row r="1" spans="1:32">
      <c r="B1" s="2279" t="s">
        <v>136</v>
      </c>
      <c r="C1" s="2279"/>
      <c r="D1" s="2279"/>
      <c r="E1" s="2279"/>
      <c r="F1" s="2279"/>
    </row>
    <row r="2" spans="1:32" ht="16.5" thickBot="1">
      <c r="B2" s="1307"/>
      <c r="C2" s="1307"/>
      <c r="D2" s="1307"/>
      <c r="E2" s="1307"/>
      <c r="F2" s="1308" t="s">
        <v>557</v>
      </c>
    </row>
    <row r="3" spans="1:32" s="5" customFormat="1" ht="54.75" customHeight="1" thickTop="1" thickBot="1">
      <c r="A3" s="4"/>
      <c r="B3" s="1061" t="s">
        <v>93</v>
      </c>
      <c r="C3" s="1062" t="s">
        <v>114</v>
      </c>
      <c r="D3" s="1062" t="s">
        <v>65</v>
      </c>
      <c r="E3" s="1062" t="s">
        <v>66</v>
      </c>
      <c r="F3" s="1063" t="s">
        <v>115</v>
      </c>
      <c r="G3" s="15"/>
      <c r="H3" s="4"/>
      <c r="I3" s="4"/>
      <c r="J3" s="4"/>
      <c r="K3" s="4"/>
      <c r="L3" s="4"/>
      <c r="M3" s="4"/>
      <c r="N3" s="4"/>
      <c r="O3" s="4"/>
      <c r="P3" s="4"/>
      <c r="Q3" s="4"/>
      <c r="R3" s="4"/>
      <c r="S3" s="4"/>
      <c r="T3" s="4"/>
      <c r="U3" s="4"/>
      <c r="V3" s="4"/>
      <c r="W3" s="4"/>
      <c r="X3" s="4"/>
      <c r="Y3" s="4"/>
      <c r="Z3" s="4"/>
      <c r="AA3" s="4"/>
      <c r="AB3" s="4"/>
      <c r="AC3" s="4"/>
      <c r="AD3" s="4"/>
      <c r="AE3" s="4"/>
      <c r="AF3" s="4"/>
    </row>
    <row r="4" spans="1:32">
      <c r="B4" s="511" t="s">
        <v>118</v>
      </c>
      <c r="C4" s="2294" t="s">
        <v>112</v>
      </c>
      <c r="D4" s="2294"/>
      <c r="E4" s="2294"/>
      <c r="F4" s="1074">
        <f>SUM(F5:F5)</f>
        <v>3</v>
      </c>
      <c r="G4" s="33"/>
    </row>
    <row r="5" spans="1:32" s="35" customFormat="1">
      <c r="A5" s="34"/>
      <c r="B5" s="512" t="s">
        <v>116</v>
      </c>
      <c r="C5" s="36" t="s">
        <v>113</v>
      </c>
      <c r="D5" s="1064">
        <v>50</v>
      </c>
      <c r="E5" s="1064">
        <v>0.06</v>
      </c>
      <c r="F5" s="1065">
        <f>D5*E5</f>
        <v>3</v>
      </c>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s="35" customFormat="1">
      <c r="A6" s="34"/>
      <c r="B6" s="513" t="s">
        <v>117</v>
      </c>
      <c r="C6" s="2295" t="s">
        <v>120</v>
      </c>
      <c r="D6" s="2295"/>
      <c r="E6" s="2295"/>
      <c r="F6" s="1068">
        <f>SUM(F7:F9)</f>
        <v>6.05</v>
      </c>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s="35" customFormat="1" ht="31.5">
      <c r="A7" s="34"/>
      <c r="B7" s="514" t="s">
        <v>122</v>
      </c>
      <c r="C7" s="36" t="s">
        <v>119</v>
      </c>
      <c r="D7" s="1064">
        <v>50</v>
      </c>
      <c r="E7" s="1064">
        <v>0.06</v>
      </c>
      <c r="F7" s="1066">
        <f t="shared" ref="F7:F9" si="0">D7*E7</f>
        <v>3</v>
      </c>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1:32" s="35" customFormat="1" ht="35.25" customHeight="1">
      <c r="A8" s="34"/>
      <c r="B8" s="514" t="s">
        <v>125</v>
      </c>
      <c r="C8" s="36" t="s">
        <v>121</v>
      </c>
      <c r="D8" s="1064">
        <v>50</v>
      </c>
      <c r="E8" s="1064">
        <v>1E-3</v>
      </c>
      <c r="F8" s="1066">
        <f t="shared" si="0"/>
        <v>0.05</v>
      </c>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1:32" s="35" customFormat="1" ht="33" customHeight="1">
      <c r="A9" s="34"/>
      <c r="B9" s="514" t="s">
        <v>126</v>
      </c>
      <c r="C9" s="36" t="s">
        <v>127</v>
      </c>
      <c r="D9" s="1064">
        <v>50</v>
      </c>
      <c r="E9" s="1064">
        <v>0.06</v>
      </c>
      <c r="F9" s="1066">
        <f t="shared" si="0"/>
        <v>3</v>
      </c>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2" s="35" customFormat="1">
      <c r="A10" s="34"/>
      <c r="B10" s="551" t="s">
        <v>123</v>
      </c>
      <c r="C10" s="552" t="s">
        <v>124</v>
      </c>
      <c r="D10" s="1067"/>
      <c r="E10" s="1067"/>
      <c r="F10" s="1068">
        <f>SUM(F11:F11)</f>
        <v>3</v>
      </c>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32" s="35" customFormat="1">
      <c r="A11" s="34"/>
      <c r="B11" s="514" t="s">
        <v>134</v>
      </c>
      <c r="C11" s="36" t="s">
        <v>135</v>
      </c>
      <c r="D11" s="1064">
        <v>50</v>
      </c>
      <c r="E11" s="1064">
        <v>0.06</v>
      </c>
      <c r="F11" s="1065">
        <f t="shared" ref="F11" si="1">D11*E11</f>
        <v>3</v>
      </c>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32">
      <c r="B12" s="515" t="s">
        <v>128</v>
      </c>
      <c r="C12" s="89" t="s">
        <v>129</v>
      </c>
      <c r="D12" s="1069"/>
      <c r="E12" s="1069"/>
      <c r="F12" s="1070">
        <f>SUM(F13:F14)</f>
        <v>0</v>
      </c>
    </row>
    <row r="13" spans="1:32">
      <c r="B13" s="516" t="s">
        <v>130</v>
      </c>
      <c r="C13" s="37" t="s">
        <v>131</v>
      </c>
      <c r="D13" s="1064">
        <v>0</v>
      </c>
      <c r="E13" s="1064">
        <v>0</v>
      </c>
      <c r="F13" s="1071">
        <f>D13*E13</f>
        <v>0</v>
      </c>
    </row>
    <row r="14" spans="1:32" ht="16.5" thickBot="1">
      <c r="B14" s="516" t="s">
        <v>132</v>
      </c>
      <c r="C14" s="37" t="s">
        <v>133</v>
      </c>
      <c r="D14" s="1064">
        <v>0</v>
      </c>
      <c r="E14" s="1064">
        <v>0</v>
      </c>
      <c r="F14" s="1071">
        <f>D14*E14</f>
        <v>0</v>
      </c>
    </row>
    <row r="15" spans="1:32" ht="16.5" thickBot="1">
      <c r="B15" s="517"/>
      <c r="C15" s="518" t="s">
        <v>67</v>
      </c>
      <c r="D15" s="1072"/>
      <c r="E15" s="1072"/>
      <c r="F15" s="1073">
        <f>F4+F6+F10+F12</f>
        <v>12.05</v>
      </c>
    </row>
    <row r="16" spans="1:32" s="50" customFormat="1" ht="16.5" thickTop="1">
      <c r="A16" s="48"/>
      <c r="B16" s="38"/>
      <c r="C16" s="39"/>
      <c r="D16" s="39"/>
      <c r="E16" s="39"/>
      <c r="F16" s="39"/>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row>
    <row r="17" spans="1:32" s="50" customFormat="1" ht="16.5" thickBot="1">
      <c r="A17" s="48"/>
      <c r="B17" s="38"/>
      <c r="C17" s="2283" t="s">
        <v>68</v>
      </c>
      <c r="D17" s="2283"/>
      <c r="E17" s="39"/>
      <c r="F17" s="39"/>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row>
    <row r="18" spans="1:32" s="50" customFormat="1" ht="30.75" customHeight="1" thickTop="1">
      <c r="A18" s="48"/>
      <c r="B18" s="38"/>
      <c r="C18" s="519" t="s">
        <v>140</v>
      </c>
      <c r="D18" s="520" t="s">
        <v>37</v>
      </c>
      <c r="E18" s="39"/>
      <c r="F18" s="39"/>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row>
    <row r="19" spans="1:32" s="50" customFormat="1">
      <c r="A19" s="48"/>
      <c r="B19" s="38"/>
      <c r="C19" s="521" t="s">
        <v>137</v>
      </c>
      <c r="D19" s="522" t="s">
        <v>38</v>
      </c>
      <c r="E19" s="39"/>
      <c r="F19" s="39"/>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row>
    <row r="20" spans="1:32" s="50" customFormat="1">
      <c r="A20" s="48"/>
      <c r="B20" s="38"/>
      <c r="C20" s="521" t="s">
        <v>138</v>
      </c>
      <c r="D20" s="522" t="s">
        <v>39</v>
      </c>
      <c r="E20" s="39"/>
      <c r="F20" s="39"/>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row>
    <row r="21" spans="1:32" s="50" customFormat="1" ht="16.5" thickBot="1">
      <c r="A21" s="48"/>
      <c r="B21" s="38"/>
      <c r="C21" s="523" t="s">
        <v>139</v>
      </c>
      <c r="D21" s="524" t="s">
        <v>40</v>
      </c>
      <c r="E21" s="39"/>
      <c r="F21" s="39"/>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row>
    <row r="22" spans="1:32" ht="16.5" thickTop="1">
      <c r="B22" s="38"/>
      <c r="C22" s="39"/>
      <c r="D22" s="39"/>
      <c r="E22" s="39"/>
      <c r="F22" s="39"/>
    </row>
    <row r="23" spans="1:32">
      <c r="B23" s="2253" t="s">
        <v>59</v>
      </c>
      <c r="C23" s="2254"/>
      <c r="D23" s="2254"/>
      <c r="E23" s="2254"/>
      <c r="F23" s="2255"/>
    </row>
    <row r="24" spans="1:32" s="54" customFormat="1" ht="33.75" customHeight="1">
      <c r="A24" s="48"/>
      <c r="B24" s="2280" t="s">
        <v>41</v>
      </c>
      <c r="C24" s="2281"/>
      <c r="D24" s="2281"/>
      <c r="E24" s="2281"/>
      <c r="F24" s="2282"/>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row>
    <row r="25" spans="1:32" s="54" customFormat="1">
      <c r="A25" s="48"/>
      <c r="B25" s="2284" t="s">
        <v>9</v>
      </c>
      <c r="C25" s="2285"/>
      <c r="D25" s="2285"/>
      <c r="E25" s="2285"/>
      <c r="F25" s="228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row>
    <row r="26" spans="1:32" s="54" customFormat="1">
      <c r="A26" s="48"/>
      <c r="B26" s="2284" t="s">
        <v>10</v>
      </c>
      <c r="C26" s="2285"/>
      <c r="D26" s="2285"/>
      <c r="E26" s="2285"/>
      <c r="F26" s="228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row>
    <row r="27" spans="1:32" s="54" customFormat="1">
      <c r="A27" s="48"/>
      <c r="B27" s="2284" t="s">
        <v>11</v>
      </c>
      <c r="C27" s="2285"/>
      <c r="D27" s="2285"/>
      <c r="E27" s="2285"/>
      <c r="F27" s="2286"/>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pans="1:32" s="54" customFormat="1">
      <c r="A28" s="48"/>
      <c r="B28" s="2290" t="s">
        <v>12</v>
      </c>
      <c r="C28" s="2291"/>
      <c r="D28" s="2291"/>
      <c r="E28" s="2291"/>
      <c r="F28" s="2292"/>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row>
    <row r="29" spans="1:32" s="54" customFormat="1">
      <c r="A29" s="48"/>
      <c r="B29" s="2280" t="s">
        <v>42</v>
      </c>
      <c r="C29" s="2281"/>
      <c r="D29" s="2281"/>
      <c r="E29" s="2281"/>
      <c r="F29" s="2282"/>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row>
    <row r="30" spans="1:32" s="54" customFormat="1">
      <c r="A30" s="48"/>
      <c r="B30" s="2284" t="s">
        <v>13</v>
      </c>
      <c r="C30" s="2285"/>
      <c r="D30" s="2285"/>
      <c r="E30" s="2285"/>
      <c r="F30" s="2286"/>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row>
    <row r="31" spans="1:32" s="54" customFormat="1">
      <c r="A31" s="48"/>
      <c r="B31" s="2284" t="s">
        <v>14</v>
      </c>
      <c r="C31" s="2285"/>
      <c r="D31" s="2285"/>
      <c r="E31" s="2285"/>
      <c r="F31" s="2286"/>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row>
    <row r="32" spans="1:32" s="54" customFormat="1" ht="15.75" customHeight="1">
      <c r="A32" s="48"/>
      <c r="B32" s="2284" t="s">
        <v>15</v>
      </c>
      <c r="C32" s="2285"/>
      <c r="D32" s="2285"/>
      <c r="E32" s="2285"/>
      <c r="F32" s="2286"/>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row>
    <row r="33" spans="1:32" s="54" customFormat="1" ht="33" customHeight="1">
      <c r="A33" s="48"/>
      <c r="B33" s="2290" t="s">
        <v>16</v>
      </c>
      <c r="C33" s="2291"/>
      <c r="D33" s="2291"/>
      <c r="E33" s="2291"/>
      <c r="F33" s="2292"/>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row>
    <row r="34" spans="1:32" s="54" customFormat="1" ht="21" customHeight="1">
      <c r="A34" s="48"/>
      <c r="B34" s="2287" t="s">
        <v>17</v>
      </c>
      <c r="C34" s="2288"/>
      <c r="D34" s="2288"/>
      <c r="E34" s="2288"/>
      <c r="F34" s="2289"/>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row>
    <row r="35" spans="1:32" s="54" customFormat="1" ht="35.25" customHeight="1">
      <c r="A35" s="48"/>
      <c r="B35" s="2287" t="s">
        <v>43</v>
      </c>
      <c r="C35" s="2288"/>
      <c r="D35" s="2288"/>
      <c r="E35" s="2288"/>
      <c r="F35" s="2289"/>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row>
    <row r="36" spans="1:32">
      <c r="B36" s="38"/>
      <c r="C36" s="39"/>
      <c r="D36" s="39"/>
      <c r="E36" s="39"/>
      <c r="F36" s="39"/>
    </row>
    <row r="37" spans="1:32" ht="20.25">
      <c r="B37" s="2293" t="s">
        <v>77</v>
      </c>
      <c r="C37" s="2293"/>
      <c r="D37" s="2293"/>
      <c r="E37" s="2293"/>
      <c r="F37" s="2293"/>
      <c r="G37" s="88"/>
    </row>
  </sheetData>
  <mergeCells count="18">
    <mergeCell ref="B34:F34"/>
    <mergeCell ref="B33:F33"/>
    <mergeCell ref="B31:F31"/>
    <mergeCell ref="B37:F37"/>
    <mergeCell ref="C4:E4"/>
    <mergeCell ref="C6:E6"/>
    <mergeCell ref="B25:F25"/>
    <mergeCell ref="B26:F26"/>
    <mergeCell ref="B27:F27"/>
    <mergeCell ref="B28:F28"/>
    <mergeCell ref="B29:F29"/>
    <mergeCell ref="B30:F30"/>
    <mergeCell ref="B35:F35"/>
    <mergeCell ref="B1:F1"/>
    <mergeCell ref="B23:F23"/>
    <mergeCell ref="B24:F24"/>
    <mergeCell ref="C17:D17"/>
    <mergeCell ref="B32:F32"/>
  </mergeCells>
  <phoneticPr fontId="6" type="noConversion"/>
  <hyperlinks>
    <hyperlink ref="B37:F37" location="начало!A1" display="Переход на начальную страницу"/>
  </hyperlinks>
  <pageMargins left="0.75" right="0.4" top="1" bottom="0.7" header="0.5" footer="0.5"/>
  <pageSetup paperSize="9" scale="7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1"/>
  <sheetViews>
    <sheetView view="pageBreakPreview" zoomScale="70" zoomScaleNormal="60" zoomScaleSheetLayoutView="70" workbookViewId="0">
      <selection activeCell="R17" sqref="R17"/>
    </sheetView>
  </sheetViews>
  <sheetFormatPr defaultColWidth="8.85546875" defaultRowHeight="12.75"/>
  <cols>
    <col min="1" max="1" width="3.85546875" style="618" customWidth="1"/>
    <col min="2" max="2" width="7.85546875" style="632" customWidth="1"/>
    <col min="3" max="3" width="66.5703125" style="618" customWidth="1"/>
    <col min="4" max="4" width="15.28515625" style="618" customWidth="1"/>
    <col min="5" max="5" width="14.85546875" style="618" customWidth="1"/>
    <col min="6" max="6" width="17.28515625" style="618" customWidth="1"/>
    <col min="7" max="7" width="16.7109375" style="618" customWidth="1"/>
    <col min="8" max="8" width="17" style="618" customWidth="1"/>
    <col min="9" max="9" width="16.5703125" style="618" customWidth="1"/>
    <col min="10" max="10" width="17.7109375" style="618" customWidth="1"/>
    <col min="11" max="11" width="15.7109375" style="618" customWidth="1"/>
    <col min="12" max="12" width="15.5703125" style="618" customWidth="1"/>
    <col min="13" max="13" width="3.5703125" style="618" customWidth="1"/>
    <col min="14" max="16384" width="8.85546875" style="618"/>
  </cols>
  <sheetData>
    <row r="1" spans="2:19" ht="18.75">
      <c r="L1" s="1292" t="s">
        <v>634</v>
      </c>
    </row>
    <row r="2" spans="2:19" ht="15.6" customHeight="1">
      <c r="B2" s="2166" t="s">
        <v>353</v>
      </c>
      <c r="C2" s="2166"/>
      <c r="D2" s="2166"/>
      <c r="E2" s="2166"/>
      <c r="F2" s="2166"/>
      <c r="G2" s="2166"/>
      <c r="H2" s="2166"/>
      <c r="I2" s="2166"/>
      <c r="J2" s="2166"/>
      <c r="K2" s="2166"/>
      <c r="L2" s="2166"/>
    </row>
    <row r="3" spans="2:19" ht="15.75">
      <c r="B3" s="2166" t="s">
        <v>354</v>
      </c>
      <c r="C3" s="2166"/>
      <c r="D3" s="2166"/>
      <c r="E3" s="2166"/>
      <c r="F3" s="2166"/>
      <c r="G3" s="2166"/>
      <c r="H3" s="2166"/>
      <c r="I3" s="2166"/>
      <c r="J3" s="2166"/>
      <c r="K3" s="2166"/>
      <c r="L3" s="2166"/>
    </row>
    <row r="4" spans="2:19" ht="16.5" thickBot="1">
      <c r="B4" s="616"/>
      <c r="C4" s="617"/>
      <c r="D4" s="617"/>
      <c r="E4" s="617"/>
      <c r="F4" s="617"/>
      <c r="G4" s="617"/>
      <c r="H4" s="619"/>
      <c r="I4" s="617"/>
      <c r="J4" s="617"/>
      <c r="K4" s="617"/>
      <c r="L4" s="1315" t="s">
        <v>558</v>
      </c>
    </row>
    <row r="5" spans="2:19" ht="20.25">
      <c r="B5" s="2296"/>
      <c r="C5" s="2297"/>
      <c r="D5" s="2300" t="s">
        <v>321</v>
      </c>
      <c r="E5" s="2301"/>
      <c r="F5" s="2301"/>
      <c r="G5" s="2301"/>
      <c r="H5" s="2301"/>
      <c r="I5" s="2301"/>
      <c r="J5" s="2301"/>
      <c r="K5" s="2301"/>
      <c r="L5" s="2302"/>
      <c r="O5" s="2109" t="s">
        <v>77</v>
      </c>
      <c r="P5" s="2109"/>
      <c r="Q5" s="2109"/>
      <c r="R5" s="2109"/>
      <c r="S5" s="2109"/>
    </row>
    <row r="6" spans="2:19" ht="16.5" thickBot="1">
      <c r="B6" s="2298"/>
      <c r="C6" s="2299"/>
      <c r="D6" s="1316">
        <v>2019</v>
      </c>
      <c r="E6" s="1316">
        <f>D6+1</f>
        <v>2020</v>
      </c>
      <c r="F6" s="1316">
        <f t="shared" ref="F6:K6" si="0">E6+1</f>
        <v>2021</v>
      </c>
      <c r="G6" s="1316">
        <f t="shared" si="0"/>
        <v>2022</v>
      </c>
      <c r="H6" s="1316">
        <f t="shared" si="0"/>
        <v>2023</v>
      </c>
      <c r="I6" s="1316">
        <f t="shared" si="0"/>
        <v>2024</v>
      </c>
      <c r="J6" s="1316">
        <f t="shared" si="0"/>
        <v>2025</v>
      </c>
      <c r="K6" s="1316">
        <f t="shared" si="0"/>
        <v>2026</v>
      </c>
      <c r="L6" s="1413" t="s">
        <v>355</v>
      </c>
    </row>
    <row r="7" spans="2:19" ht="19.5" customHeight="1">
      <c r="B7" s="1414" t="s">
        <v>118</v>
      </c>
      <c r="C7" s="1317" t="s">
        <v>356</v>
      </c>
      <c r="D7" s="1487" t="e">
        <f>D8+D13+D14+D15+D16+D17</f>
        <v>#REF!</v>
      </c>
      <c r="E7" s="1487" t="e">
        <f t="shared" ref="E7:K7" si="1">E8+E13+E14+E15+E16+E17</f>
        <v>#REF!</v>
      </c>
      <c r="F7" s="1487" t="e">
        <f t="shared" si="1"/>
        <v>#REF!</v>
      </c>
      <c r="G7" s="1487" t="e">
        <f t="shared" si="1"/>
        <v>#REF!</v>
      </c>
      <c r="H7" s="1487" t="e">
        <f t="shared" si="1"/>
        <v>#REF!</v>
      </c>
      <c r="I7" s="1487" t="e">
        <f t="shared" si="1"/>
        <v>#REF!</v>
      </c>
      <c r="J7" s="1487" t="e">
        <f t="shared" si="1"/>
        <v>#REF!</v>
      </c>
      <c r="K7" s="1487" t="e">
        <f t="shared" si="1"/>
        <v>#REF!</v>
      </c>
      <c r="L7" s="1488" t="e">
        <f t="shared" ref="L7:L31" si="2">SUM(D7:K7)</f>
        <v>#REF!</v>
      </c>
    </row>
    <row r="8" spans="2:19" ht="19.5" customHeight="1">
      <c r="B8" s="1415" t="s">
        <v>116</v>
      </c>
      <c r="C8" s="1318" t="s">
        <v>357</v>
      </c>
      <c r="D8" s="1489" t="e">
        <f>D9+D13</f>
        <v>#REF!</v>
      </c>
      <c r="E8" s="1489" t="e">
        <f>E9+E14</f>
        <v>#REF!</v>
      </c>
      <c r="F8" s="1489" t="e">
        <f t="shared" ref="F8:K8" si="3">F9+F13</f>
        <v>#REF!</v>
      </c>
      <c r="G8" s="1489" t="e">
        <f t="shared" si="3"/>
        <v>#REF!</v>
      </c>
      <c r="H8" s="1489" t="e">
        <f t="shared" si="3"/>
        <v>#REF!</v>
      </c>
      <c r="I8" s="1489" t="e">
        <f t="shared" si="3"/>
        <v>#REF!</v>
      </c>
      <c r="J8" s="1489" t="e">
        <f t="shared" si="3"/>
        <v>#REF!</v>
      </c>
      <c r="K8" s="1489" t="e">
        <f t="shared" si="3"/>
        <v>#REF!</v>
      </c>
      <c r="L8" s="1490" t="e">
        <f t="shared" si="2"/>
        <v>#REF!</v>
      </c>
    </row>
    <row r="9" spans="2:19" ht="19.5" customHeight="1">
      <c r="B9" s="1415"/>
      <c r="C9" s="1318" t="s">
        <v>358</v>
      </c>
      <c r="D9" s="1489" t="e">
        <f t="shared" ref="D9:K9" si="4">SUM(D10:D13)</f>
        <v>#REF!</v>
      </c>
      <c r="E9" s="1489" t="e">
        <f t="shared" si="4"/>
        <v>#REF!</v>
      </c>
      <c r="F9" s="1489" t="e">
        <f t="shared" si="4"/>
        <v>#REF!</v>
      </c>
      <c r="G9" s="1489" t="e">
        <f t="shared" si="4"/>
        <v>#REF!</v>
      </c>
      <c r="H9" s="1489" t="e">
        <f t="shared" si="4"/>
        <v>#REF!</v>
      </c>
      <c r="I9" s="1489" t="e">
        <f t="shared" si="4"/>
        <v>#REF!</v>
      </c>
      <c r="J9" s="1489" t="e">
        <f t="shared" si="4"/>
        <v>#REF!</v>
      </c>
      <c r="K9" s="1489" t="e">
        <f t="shared" si="4"/>
        <v>#REF!</v>
      </c>
      <c r="L9" s="1490" t="e">
        <f t="shared" si="2"/>
        <v>#REF!</v>
      </c>
    </row>
    <row r="10" spans="2:19" ht="19.5" customHeight="1">
      <c r="B10" s="1415"/>
      <c r="C10" s="1319" t="s">
        <v>609</v>
      </c>
      <c r="D10" s="1489" t="e">
        <f>+ПрСбытПрП!#REF!</f>
        <v>#REF!</v>
      </c>
      <c r="E10" s="1489" t="e">
        <f>+ПрСбытПрП!#REF!</f>
        <v>#REF!</v>
      </c>
      <c r="F10" s="1489" t="e">
        <f>+ПрСбытПрП!#REF!</f>
        <v>#REF!</v>
      </c>
      <c r="G10" s="1489" t="e">
        <f>+ПрСбытПрП!#REF!</f>
        <v>#REF!</v>
      </c>
      <c r="H10" s="1489" t="e">
        <f>+ПрСбытПрП!#REF!</f>
        <v>#REF!</v>
      </c>
      <c r="I10" s="1489" t="e">
        <f>+ПрСбытПрП!#REF!</f>
        <v>#REF!</v>
      </c>
      <c r="J10" s="1489" t="e">
        <f>+ПрСбытПрП!#REF!</f>
        <v>#REF!</v>
      </c>
      <c r="K10" s="1489" t="e">
        <f>+ПрСбытПрП!#REF!</f>
        <v>#REF!</v>
      </c>
      <c r="L10" s="1490" t="e">
        <f t="shared" si="2"/>
        <v>#REF!</v>
      </c>
    </row>
    <row r="11" spans="2:19" ht="19.5" customHeight="1">
      <c r="B11" s="1415"/>
      <c r="C11" s="1319" t="s">
        <v>359</v>
      </c>
      <c r="D11" s="1489" t="e">
        <f>+ПрСбытПрП!#REF!</f>
        <v>#REF!</v>
      </c>
      <c r="E11" s="1489" t="e">
        <f>+ПрСбытПрП!#REF!</f>
        <v>#REF!</v>
      </c>
      <c r="F11" s="1489" t="e">
        <f>+ПрСбытПрП!#REF!</f>
        <v>#REF!</v>
      </c>
      <c r="G11" s="1489" t="e">
        <f>+ПрСбытПрП!#REF!</f>
        <v>#REF!</v>
      </c>
      <c r="H11" s="1489" t="e">
        <f>+ПрСбытПрП!#REF!</f>
        <v>#REF!</v>
      </c>
      <c r="I11" s="1489" t="e">
        <f>+ПрСбытПрП!#REF!</f>
        <v>#REF!</v>
      </c>
      <c r="J11" s="1489" t="e">
        <f>+ПрСбытПрП!#REF!</f>
        <v>#REF!</v>
      </c>
      <c r="K11" s="1489" t="e">
        <f>+ПрСбытПрП!#REF!</f>
        <v>#REF!</v>
      </c>
      <c r="L11" s="1490" t="e">
        <f t="shared" si="2"/>
        <v>#REF!</v>
      </c>
      <c r="O11" s="618" t="s">
        <v>609</v>
      </c>
      <c r="P11" s="866">
        <v>596.70000000000005</v>
      </c>
    </row>
    <row r="12" spans="2:19" ht="19.5" customHeight="1">
      <c r="B12" s="1415"/>
      <c r="C12" s="1319" t="s">
        <v>613</v>
      </c>
      <c r="D12" s="1489" t="e">
        <f>+ПрСбытПрП!#REF!</f>
        <v>#REF!</v>
      </c>
      <c r="E12" s="1489" t="e">
        <f>ПрСбытПрП!D8+ПрСбытПрП!#REF!</f>
        <v>#REF!</v>
      </c>
      <c r="F12" s="1489" t="e">
        <f>ПрСбытПрП!E8+ПрСбытПрП!#REF!</f>
        <v>#REF!</v>
      </c>
      <c r="G12" s="1489" t="e">
        <f>ПрСбытПрП!F8+ПрСбытПрП!#REF!</f>
        <v>#REF!</v>
      </c>
      <c r="H12" s="1489" t="e">
        <f>ПрСбытПрП!G8+ПрСбытПрП!#REF!</f>
        <v>#REF!</v>
      </c>
      <c r="I12" s="1489" t="e">
        <f>ПрСбытПрП!H8+ПрСбытПрП!#REF!</f>
        <v>#REF!</v>
      </c>
      <c r="J12" s="1489" t="e">
        <f>ПрСбытПрП!#REF!+ПрСбытПрП!#REF!</f>
        <v>#REF!</v>
      </c>
      <c r="K12" s="1489" t="e">
        <f>ПрСбытПрП!#REF!+ПрСбытПрП!#REF!</f>
        <v>#REF!</v>
      </c>
      <c r="L12" s="1490" t="e">
        <f t="shared" si="2"/>
        <v>#REF!</v>
      </c>
      <c r="O12" s="618" t="s">
        <v>613</v>
      </c>
      <c r="P12" s="866">
        <v>1468.692288</v>
      </c>
    </row>
    <row r="13" spans="2:19" ht="19.5" customHeight="1">
      <c r="B13" s="1415"/>
      <c r="C13" s="1319" t="s">
        <v>611</v>
      </c>
      <c r="D13" s="1489" t="e">
        <f>ПрСбытПрП!#REF!</f>
        <v>#REF!</v>
      </c>
      <c r="E13" s="1489" t="e">
        <f>ПрСбытПрП!#REF!</f>
        <v>#REF!</v>
      </c>
      <c r="F13" s="1489" t="e">
        <f>ПрСбытПрП!#REF!</f>
        <v>#REF!</v>
      </c>
      <c r="G13" s="1489" t="e">
        <f>ПрСбытПрП!#REF!</f>
        <v>#REF!</v>
      </c>
      <c r="H13" s="1489" t="e">
        <f>ПрСбытПрП!#REF!</f>
        <v>#REF!</v>
      </c>
      <c r="I13" s="1489" t="e">
        <f>ПрСбытПрП!#REF!</f>
        <v>#REF!</v>
      </c>
      <c r="J13" s="1489" t="e">
        <f>ПрСбытПрП!#REF!</f>
        <v>#REF!</v>
      </c>
      <c r="K13" s="1489" t="e">
        <f>ПрСбытПрП!#REF!</f>
        <v>#REF!</v>
      </c>
      <c r="L13" s="1490" t="e">
        <f t="shared" si="2"/>
        <v>#REF!</v>
      </c>
      <c r="O13" s="618" t="s">
        <v>611</v>
      </c>
      <c r="P13" s="866">
        <v>1166.5919999999999</v>
      </c>
    </row>
    <row r="14" spans="2:19" ht="19.5" customHeight="1">
      <c r="B14" s="1415" t="s">
        <v>360</v>
      </c>
      <c r="C14" s="1319" t="s">
        <v>471</v>
      </c>
      <c r="D14" s="1489">
        <v>0</v>
      </c>
      <c r="E14" s="1489">
        <f>D14*1.08</f>
        <v>0</v>
      </c>
      <c r="F14" s="1489">
        <f>E14*1.08</f>
        <v>0</v>
      </c>
      <c r="G14" s="1489">
        <f t="shared" ref="G14:K14" si="5">F14*1.08</f>
        <v>0</v>
      </c>
      <c r="H14" s="1489">
        <f t="shared" si="5"/>
        <v>0</v>
      </c>
      <c r="I14" s="1489">
        <f t="shared" si="5"/>
        <v>0</v>
      </c>
      <c r="J14" s="1489">
        <f t="shared" si="5"/>
        <v>0</v>
      </c>
      <c r="K14" s="1489">
        <f t="shared" si="5"/>
        <v>0</v>
      </c>
      <c r="L14" s="1490">
        <f t="shared" si="2"/>
        <v>0</v>
      </c>
      <c r="P14" s="866">
        <f>SUM(P11:P13)</f>
        <v>3231.9842879999997</v>
      </c>
    </row>
    <row r="15" spans="2:19" ht="19.5" customHeight="1">
      <c r="B15" s="1416" t="s">
        <v>361</v>
      </c>
      <c r="C15" s="1318" t="s">
        <v>475</v>
      </c>
      <c r="D15" s="1489">
        <f>'1.План'!F13</f>
        <v>0</v>
      </c>
      <c r="E15" s="1489"/>
      <c r="F15" s="1489"/>
      <c r="G15" s="1489"/>
      <c r="H15" s="1489"/>
      <c r="I15" s="1489"/>
      <c r="J15" s="1489"/>
      <c r="K15" s="1489"/>
      <c r="L15" s="1490">
        <f t="shared" si="2"/>
        <v>0</v>
      </c>
      <c r="P15" s="866"/>
    </row>
    <row r="16" spans="2:19" ht="19.5" customHeight="1">
      <c r="B16" s="1416" t="s">
        <v>362</v>
      </c>
      <c r="C16" s="1318" t="s">
        <v>474</v>
      </c>
      <c r="D16" s="1489">
        <f>'1.План'!D13</f>
        <v>0</v>
      </c>
      <c r="E16" s="1489"/>
      <c r="F16" s="1489"/>
      <c r="G16" s="1489"/>
      <c r="H16" s="1489"/>
      <c r="I16" s="1489"/>
      <c r="J16" s="1489"/>
      <c r="K16" s="1489"/>
      <c r="L16" s="1490">
        <f t="shared" si="2"/>
        <v>0</v>
      </c>
      <c r="P16" s="866"/>
    </row>
    <row r="17" spans="2:16" ht="19.5" customHeight="1">
      <c r="B17" s="1416" t="s">
        <v>363</v>
      </c>
      <c r="C17" s="1318" t="s">
        <v>364</v>
      </c>
      <c r="D17" s="1489">
        <f>'1.План'!E13</f>
        <v>0</v>
      </c>
      <c r="E17" s="1489"/>
      <c r="F17" s="1489"/>
      <c r="G17" s="1489"/>
      <c r="H17" s="1489"/>
      <c r="I17" s="1489"/>
      <c r="J17" s="1489"/>
      <c r="K17" s="1489"/>
      <c r="L17" s="1490">
        <f t="shared" si="2"/>
        <v>0</v>
      </c>
      <c r="O17" s="618" t="s">
        <v>368</v>
      </c>
      <c r="P17" s="866">
        <v>447.03725624999998</v>
      </c>
    </row>
    <row r="18" spans="2:16" ht="19.5" customHeight="1">
      <c r="B18" s="1415"/>
      <c r="C18" s="1318"/>
      <c r="D18" s="1489"/>
      <c r="E18" s="1489"/>
      <c r="F18" s="1489"/>
      <c r="G18" s="1489"/>
      <c r="H18" s="1489"/>
      <c r="I18" s="1489"/>
      <c r="J18" s="1489"/>
      <c r="K18" s="1489"/>
      <c r="L18" s="1490"/>
      <c r="O18" s="618" t="s">
        <v>489</v>
      </c>
      <c r="P18" s="866">
        <v>30.941666666666666</v>
      </c>
    </row>
    <row r="19" spans="2:16" ht="19.5" customHeight="1">
      <c r="B19" s="1417" t="s">
        <v>117</v>
      </c>
      <c r="C19" s="1320" t="s">
        <v>600</v>
      </c>
      <c r="D19" s="1491" t="e">
        <f>+D20</f>
        <v>#REF!</v>
      </c>
      <c r="E19" s="1491" t="e">
        <f t="shared" ref="E19:K19" si="6">+E20</f>
        <v>#REF!</v>
      </c>
      <c r="F19" s="1491" t="e">
        <f t="shared" si="6"/>
        <v>#REF!</v>
      </c>
      <c r="G19" s="1491" t="e">
        <f t="shared" si="6"/>
        <v>#REF!</v>
      </c>
      <c r="H19" s="1491" t="e">
        <f t="shared" si="6"/>
        <v>#REF!</v>
      </c>
      <c r="I19" s="1491" t="e">
        <f t="shared" si="6"/>
        <v>#REF!</v>
      </c>
      <c r="J19" s="1491" t="e">
        <f t="shared" si="6"/>
        <v>#REF!</v>
      </c>
      <c r="K19" s="1491" t="e">
        <f t="shared" si="6"/>
        <v>#REF!</v>
      </c>
      <c r="L19" s="1492" t="e">
        <f t="shared" si="2"/>
        <v>#REF!</v>
      </c>
      <c r="O19" s="618" t="s">
        <v>211</v>
      </c>
      <c r="P19" s="866">
        <v>158.69999999999999</v>
      </c>
    </row>
    <row r="20" spans="2:16" ht="19.5" customHeight="1">
      <c r="B20" s="1418" t="s">
        <v>365</v>
      </c>
      <c r="C20" s="1321" t="s">
        <v>366</v>
      </c>
      <c r="D20" s="1493" t="e">
        <f>D21+D22+D23+D24+D25+D26+D27+D30</f>
        <v>#REF!</v>
      </c>
      <c r="E20" s="1493" t="e">
        <f t="shared" ref="E20:K20" si="7">E21+E22+E23+E24+E25+E26+E27+E30</f>
        <v>#REF!</v>
      </c>
      <c r="F20" s="1493" t="e">
        <f t="shared" si="7"/>
        <v>#REF!</v>
      </c>
      <c r="G20" s="1493" t="e">
        <f t="shared" si="7"/>
        <v>#REF!</v>
      </c>
      <c r="H20" s="1493" t="e">
        <f t="shared" si="7"/>
        <v>#REF!</v>
      </c>
      <c r="I20" s="1493" t="e">
        <f t="shared" si="7"/>
        <v>#REF!</v>
      </c>
      <c r="J20" s="1493" t="e">
        <f t="shared" si="7"/>
        <v>#REF!</v>
      </c>
      <c r="K20" s="1493" t="e">
        <f t="shared" si="7"/>
        <v>#REF!</v>
      </c>
      <c r="L20" s="1490" t="e">
        <f t="shared" si="2"/>
        <v>#REF!</v>
      </c>
      <c r="O20" s="618" t="s">
        <v>323</v>
      </c>
      <c r="P20" s="866">
        <v>108.75</v>
      </c>
    </row>
    <row r="21" spans="2:16" ht="19.5" customHeight="1">
      <c r="B21" s="1416" t="s">
        <v>367</v>
      </c>
      <c r="C21" s="1318" t="s">
        <v>368</v>
      </c>
      <c r="D21" s="1489">
        <f>'3 корм ЛОШ'!N22-'3 корм ЛОШ'!N10</f>
        <v>0</v>
      </c>
      <c r="E21" s="1489">
        <f>'3 корм ЛОШ'!N42-'3 корм ЛОШ'!N30</f>
        <v>0</v>
      </c>
      <c r="F21" s="1489">
        <f>'3 корм ЛОШ'!N62-'3 корм ЛОШ'!N50</f>
        <v>0</v>
      </c>
      <c r="G21" s="1489">
        <f>'3 корм ЛОШ'!N82-'3 корм ЛОШ'!N70</f>
        <v>0</v>
      </c>
      <c r="H21" s="1489">
        <f>'3 корм ЛОШ'!N102-'3 корм ЛОШ'!N90</f>
        <v>0</v>
      </c>
      <c r="I21" s="1489">
        <f>'3 корм ЛОШ'!N122-'3 корм ЛОШ'!N110</f>
        <v>0</v>
      </c>
      <c r="J21" s="1489" t="e">
        <f>'3 корм ЛОШ'!#REF!-'3 корм ЛОШ'!#REF!</f>
        <v>#REF!</v>
      </c>
      <c r="K21" s="1489" t="e">
        <f>'3 корм ЛОШ'!#REF!-'3 корм ЛОШ'!#REF!</f>
        <v>#REF!</v>
      </c>
      <c r="L21" s="1490" t="e">
        <f t="shared" si="2"/>
        <v>#REF!</v>
      </c>
      <c r="O21" s="618" t="s">
        <v>447</v>
      </c>
      <c r="P21" s="866">
        <v>112.41249999999998</v>
      </c>
    </row>
    <row r="22" spans="2:16" ht="19.5" customHeight="1">
      <c r="B22" s="1416" t="s">
        <v>369</v>
      </c>
      <c r="C22" s="1318" t="s">
        <v>489</v>
      </c>
      <c r="D22" s="1489" t="e">
        <f>+'4.защ лош'!#REF!</f>
        <v>#REF!</v>
      </c>
      <c r="E22" s="1489" t="e">
        <f>+'4.защ лош'!#REF!</f>
        <v>#REF!</v>
      </c>
      <c r="F22" s="1489" t="e">
        <f>+'4.защ лош'!#REF!</f>
        <v>#REF!</v>
      </c>
      <c r="G22" s="1489" t="e">
        <f>+'4.защ лош'!#REF!</f>
        <v>#REF!</v>
      </c>
      <c r="H22" s="1489" t="e">
        <f>+'4.защ лош'!#REF!</f>
        <v>#REF!</v>
      </c>
      <c r="I22" s="1489" t="e">
        <f>+'4.защ лош'!#REF!</f>
        <v>#REF!</v>
      </c>
      <c r="J22" s="1489" t="e">
        <f>+'4.защ лош'!#REF!</f>
        <v>#REF!</v>
      </c>
      <c r="K22" s="1489" t="e">
        <f>+'4.защ лош'!#REF!</f>
        <v>#REF!</v>
      </c>
      <c r="L22" s="1490" t="e">
        <f t="shared" si="2"/>
        <v>#REF!</v>
      </c>
      <c r="O22" s="618" t="s">
        <v>374</v>
      </c>
      <c r="P22" s="866">
        <v>118.75</v>
      </c>
    </row>
    <row r="23" spans="2:16" ht="19.5" customHeight="1">
      <c r="B23" s="1416" t="s">
        <v>370</v>
      </c>
      <c r="C23" s="1318" t="s">
        <v>211</v>
      </c>
      <c r="D23" s="1489">
        <v>120</v>
      </c>
      <c r="E23" s="1489">
        <f>D23*1.15</f>
        <v>138</v>
      </c>
      <c r="F23" s="1489">
        <f t="shared" ref="F23:K23" si="8">E23*1.15</f>
        <v>158.69999999999999</v>
      </c>
      <c r="G23" s="1489">
        <f t="shared" si="8"/>
        <v>182.50499999999997</v>
      </c>
      <c r="H23" s="1489">
        <f t="shared" si="8"/>
        <v>209.88074999999995</v>
      </c>
      <c r="I23" s="1489">
        <f t="shared" si="8"/>
        <v>241.36286249999992</v>
      </c>
      <c r="J23" s="1489">
        <f t="shared" si="8"/>
        <v>277.56729187499991</v>
      </c>
      <c r="K23" s="1489">
        <f t="shared" si="8"/>
        <v>319.20238565624987</v>
      </c>
      <c r="L23" s="1490">
        <f t="shared" si="2"/>
        <v>1647.2182900312496</v>
      </c>
      <c r="O23" s="618" t="s">
        <v>416</v>
      </c>
      <c r="P23" s="866">
        <v>15.327000000000002</v>
      </c>
    </row>
    <row r="24" spans="2:16" ht="19.5" customHeight="1">
      <c r="B24" s="1416" t="s">
        <v>367</v>
      </c>
      <c r="C24" s="1318" t="s">
        <v>323</v>
      </c>
      <c r="D24" s="1494">
        <v>35</v>
      </c>
      <c r="E24" s="1494">
        <v>87</v>
      </c>
      <c r="F24" s="1494">
        <f t="shared" ref="F24:K24" si="9">E24*1.25</f>
        <v>108.75</v>
      </c>
      <c r="G24" s="1494">
        <f t="shared" si="9"/>
        <v>135.9375</v>
      </c>
      <c r="H24" s="1494">
        <f t="shared" si="9"/>
        <v>169.921875</v>
      </c>
      <c r="I24" s="1494">
        <f t="shared" si="9"/>
        <v>212.40234375</v>
      </c>
      <c r="J24" s="1494">
        <f t="shared" si="9"/>
        <v>265.5029296875</v>
      </c>
      <c r="K24" s="1494">
        <f t="shared" si="9"/>
        <v>331.878662109375</v>
      </c>
      <c r="L24" s="1490">
        <f t="shared" si="2"/>
        <v>1346.393310546875</v>
      </c>
      <c r="O24" s="618" t="s">
        <v>379</v>
      </c>
      <c r="P24" s="866">
        <v>1485.7950366133332</v>
      </c>
    </row>
    <row r="25" spans="2:16" ht="19.5" customHeight="1">
      <c r="B25" s="1416" t="s">
        <v>372</v>
      </c>
      <c r="C25" s="1318" t="s">
        <v>447</v>
      </c>
      <c r="D25" s="1494">
        <v>85</v>
      </c>
      <c r="E25" s="1494">
        <f>D25*1.15</f>
        <v>97.749999999999986</v>
      </c>
      <c r="F25" s="1494">
        <f t="shared" ref="F25:K25" si="10">E25*1.15</f>
        <v>112.41249999999998</v>
      </c>
      <c r="G25" s="1494">
        <f t="shared" si="10"/>
        <v>129.27437499999996</v>
      </c>
      <c r="H25" s="1494">
        <f t="shared" si="10"/>
        <v>148.66553124999996</v>
      </c>
      <c r="I25" s="1494">
        <f t="shared" si="10"/>
        <v>170.96536093749995</v>
      </c>
      <c r="J25" s="1494">
        <f t="shared" si="10"/>
        <v>196.61016507812494</v>
      </c>
      <c r="K25" s="1494">
        <f t="shared" si="10"/>
        <v>226.10168983984366</v>
      </c>
      <c r="L25" s="1490">
        <f t="shared" si="2"/>
        <v>1166.7796221054684</v>
      </c>
      <c r="O25" s="618" t="s">
        <v>371</v>
      </c>
      <c r="P25" s="866">
        <v>45.25624970819996</v>
      </c>
    </row>
    <row r="26" spans="2:16" ht="19.5" customHeight="1">
      <c r="B26" s="1416" t="s">
        <v>373</v>
      </c>
      <c r="C26" s="1318" t="s">
        <v>374</v>
      </c>
      <c r="D26" s="1494">
        <v>75</v>
      </c>
      <c r="E26" s="1494">
        <v>95</v>
      </c>
      <c r="F26" s="1494">
        <f>E26*1.25</f>
        <v>118.75</v>
      </c>
      <c r="G26" s="1494">
        <f t="shared" ref="G26:K26" si="11">F26*1.25</f>
        <v>148.4375</v>
      </c>
      <c r="H26" s="1494">
        <f t="shared" si="11"/>
        <v>185.546875</v>
      </c>
      <c r="I26" s="1494">
        <f t="shared" si="11"/>
        <v>231.93359375</v>
      </c>
      <c r="J26" s="1494">
        <f t="shared" si="11"/>
        <v>289.9169921875</v>
      </c>
      <c r="K26" s="1494">
        <f t="shared" si="11"/>
        <v>362.396240234375</v>
      </c>
      <c r="L26" s="1490">
        <f t="shared" si="2"/>
        <v>1506.981201171875</v>
      </c>
      <c r="P26" s="866">
        <f>SUM(P17:P25)</f>
        <v>2522.9697092381998</v>
      </c>
    </row>
    <row r="27" spans="2:16" ht="19.5" customHeight="1">
      <c r="B27" s="1416" t="s">
        <v>375</v>
      </c>
      <c r="C27" s="1318" t="s">
        <v>457</v>
      </c>
      <c r="D27" s="1494">
        <f>SUM(Кредит!G5:G7)</f>
        <v>0</v>
      </c>
      <c r="E27" s="1494">
        <f>SUM(Кредит!G8:G19)</f>
        <v>0</v>
      </c>
      <c r="F27" s="1494">
        <f>SUM(Кредит!G20:G31)</f>
        <v>0</v>
      </c>
      <c r="G27" s="1494">
        <f>SUM(Кредит!G32:G40)</f>
        <v>0</v>
      </c>
      <c r="H27" s="1494"/>
      <c r="I27" s="1494"/>
      <c r="J27" s="1494"/>
      <c r="K27" s="1494"/>
      <c r="L27" s="1490">
        <f t="shared" si="2"/>
        <v>0</v>
      </c>
    </row>
    <row r="28" spans="2:16" ht="19.5" customHeight="1">
      <c r="B28" s="1416"/>
      <c r="C28" s="1318" t="s">
        <v>458</v>
      </c>
      <c r="D28" s="1489">
        <f>SUM(Кредит!F5:F7)</f>
        <v>0</v>
      </c>
      <c r="E28" s="1489">
        <f>SUM(Кредит!F8:F19)</f>
        <v>0</v>
      </c>
      <c r="F28" s="1489">
        <f>SUM(Кредит!F20:F31)</f>
        <v>0</v>
      </c>
      <c r="G28" s="1489">
        <f>SUM(Кредит!F32:F40)</f>
        <v>0</v>
      </c>
      <c r="H28" s="1489"/>
      <c r="I28" s="1489"/>
      <c r="J28" s="1489"/>
      <c r="K28" s="1489"/>
      <c r="L28" s="1490"/>
    </row>
    <row r="29" spans="2:16" ht="19.5" customHeight="1">
      <c r="B29" s="1416" t="s">
        <v>376</v>
      </c>
      <c r="C29" s="1318" t="s">
        <v>418</v>
      </c>
      <c r="D29" s="1489" t="e">
        <f>+ТРП!#REF!</f>
        <v>#REF!</v>
      </c>
      <c r="E29" s="1489" t="e">
        <f>+ТРП!#REF!</f>
        <v>#REF!</v>
      </c>
      <c r="F29" s="1489" t="e">
        <f>+ТРП!#REF!</f>
        <v>#REF!</v>
      </c>
      <c r="G29" s="1489" t="e">
        <f>+ТРП!#REF!</f>
        <v>#REF!</v>
      </c>
      <c r="H29" s="1489" t="e">
        <f>+ТРП!#REF!</f>
        <v>#REF!</v>
      </c>
      <c r="I29" s="1489" t="e">
        <f>+ТРП!#REF!</f>
        <v>#REF!</v>
      </c>
      <c r="J29" s="1489" t="e">
        <f>+ТРП!#REF!</f>
        <v>#REF!</v>
      </c>
      <c r="K29" s="1489" t="e">
        <f>+ТРП!#REF!</f>
        <v>#REF!</v>
      </c>
      <c r="L29" s="1490" t="e">
        <f t="shared" si="2"/>
        <v>#REF!</v>
      </c>
    </row>
    <row r="30" spans="2:16" ht="19.5" customHeight="1">
      <c r="B30" s="1416" t="s">
        <v>377</v>
      </c>
      <c r="C30" s="1318" t="s">
        <v>416</v>
      </c>
      <c r="D30" s="1489" t="e">
        <f>+ТРП!#REF!</f>
        <v>#REF!</v>
      </c>
      <c r="E30" s="1489" t="e">
        <f>+ТРП!#REF!</f>
        <v>#REF!</v>
      </c>
      <c r="F30" s="1489" t="e">
        <f>+ТРП!#REF!</f>
        <v>#REF!</v>
      </c>
      <c r="G30" s="1489" t="e">
        <f>+ТРП!#REF!</f>
        <v>#REF!</v>
      </c>
      <c r="H30" s="1489" t="e">
        <f>+ТРП!#REF!</f>
        <v>#REF!</v>
      </c>
      <c r="I30" s="1489" t="e">
        <f>+ТРП!#REF!</f>
        <v>#REF!</v>
      </c>
      <c r="J30" s="1489" t="e">
        <f>+ТРП!#REF!</f>
        <v>#REF!</v>
      </c>
      <c r="K30" s="1489" t="e">
        <f>+ТРП!#REF!</f>
        <v>#REF!</v>
      </c>
      <c r="L30" s="1490" t="e">
        <f t="shared" si="2"/>
        <v>#REF!</v>
      </c>
    </row>
    <row r="31" spans="2:16" s="620" customFormat="1" ht="19.5" customHeight="1">
      <c r="B31" s="1418" t="s">
        <v>378</v>
      </c>
      <c r="C31" s="1321" t="s">
        <v>601</v>
      </c>
      <c r="D31" s="1493">
        <f>'1.План'!C13</f>
        <v>0</v>
      </c>
      <c r="E31" s="1493"/>
      <c r="F31" s="1493"/>
      <c r="G31" s="1493"/>
      <c r="H31" s="1493"/>
      <c r="I31" s="1493"/>
      <c r="J31" s="1493"/>
      <c r="K31" s="1493"/>
      <c r="L31" s="1490">
        <f t="shared" si="2"/>
        <v>0</v>
      </c>
    </row>
    <row r="32" spans="2:16" s="620" customFormat="1" ht="19.5" customHeight="1">
      <c r="B32" s="1416"/>
      <c r="C32" s="1318"/>
      <c r="D32" s="1489"/>
      <c r="E32" s="1489"/>
      <c r="F32" s="1489"/>
      <c r="G32" s="1489"/>
      <c r="H32" s="1489"/>
      <c r="I32" s="1489"/>
      <c r="J32" s="1489"/>
      <c r="K32" s="1489"/>
      <c r="L32" s="1490"/>
    </row>
    <row r="33" spans="2:13" ht="19.5" customHeight="1">
      <c r="B33" s="1417" t="s">
        <v>599</v>
      </c>
      <c r="C33" s="1320" t="s">
        <v>420</v>
      </c>
      <c r="D33" s="1491" t="e">
        <f>D7-D19-D31</f>
        <v>#REF!</v>
      </c>
      <c r="E33" s="1491" t="e">
        <f t="shared" ref="E33:K33" si="12">E7-E19-E31</f>
        <v>#REF!</v>
      </c>
      <c r="F33" s="1491" t="e">
        <f t="shared" si="12"/>
        <v>#REF!</v>
      </c>
      <c r="G33" s="1491" t="e">
        <f t="shared" si="12"/>
        <v>#REF!</v>
      </c>
      <c r="H33" s="1491" t="e">
        <f t="shared" si="12"/>
        <v>#REF!</v>
      </c>
      <c r="I33" s="1491" t="e">
        <f t="shared" si="12"/>
        <v>#REF!</v>
      </c>
      <c r="J33" s="1491" t="e">
        <f t="shared" si="12"/>
        <v>#REF!</v>
      </c>
      <c r="K33" s="1491" t="e">
        <f t="shared" si="12"/>
        <v>#REF!</v>
      </c>
      <c r="L33" s="1492" t="e">
        <f>SUM(D33:K33)</f>
        <v>#REF!</v>
      </c>
    </row>
    <row r="34" spans="2:13" ht="19.5" customHeight="1">
      <c r="B34" s="1418" t="s">
        <v>128</v>
      </c>
      <c r="C34" s="1321" t="s">
        <v>379</v>
      </c>
      <c r="D34" s="1391" t="e">
        <f>'22.ФОТ'!H17</f>
        <v>#REF!</v>
      </c>
      <c r="E34" s="1391">
        <f>+'22.ФОТ'!N17</f>
        <v>1386.528</v>
      </c>
      <c r="F34" s="1391" t="e">
        <f>+'22.ФОТ'!T17</f>
        <v>#REF!</v>
      </c>
      <c r="G34" s="1391" t="e">
        <f>+'22.ФОТ'!Z17</f>
        <v>#REF!</v>
      </c>
      <c r="H34" s="1391" t="e">
        <f>+'22.ФОТ'!AF17</f>
        <v>#REF!</v>
      </c>
      <c r="I34" s="1493" t="e">
        <f>'22.ФОТ'!H31</f>
        <v>#REF!</v>
      </c>
      <c r="J34" s="1493" t="e">
        <f>+'22.ФОТ'!N31</f>
        <v>#REF!</v>
      </c>
      <c r="K34" s="1493" t="e">
        <f>+'22.ФОТ'!T31</f>
        <v>#REF!</v>
      </c>
      <c r="L34" s="1490" t="e">
        <f>SUM(D34:K34)</f>
        <v>#REF!</v>
      </c>
    </row>
    <row r="35" spans="2:13" ht="19.5" customHeight="1" thickBot="1">
      <c r="B35" s="1419" t="s">
        <v>380</v>
      </c>
      <c r="C35" s="1322" t="s">
        <v>371</v>
      </c>
      <c r="D35" s="1495" t="e">
        <f>'23.Налоги'!C11</f>
        <v>#REF!</v>
      </c>
      <c r="E35" s="1495" t="e">
        <f>'23.Налоги'!H11</f>
        <v>#REF!</v>
      </c>
      <c r="F35" s="1495" t="e">
        <f>'23.Налоги'!I11</f>
        <v>#REF!</v>
      </c>
      <c r="G35" s="1495" t="e">
        <f>'23.Налоги'!J11</f>
        <v>#REF!</v>
      </c>
      <c r="H35" s="1495" t="e">
        <f>'23.Налоги'!K11</f>
        <v>#REF!</v>
      </c>
      <c r="I35" s="1495" t="e">
        <f>'23.Налоги'!L11</f>
        <v>#REF!</v>
      </c>
      <c r="J35" s="1495" t="e">
        <f>'23.Налоги'!M11</f>
        <v>#REF!</v>
      </c>
      <c r="K35" s="1495" t="e">
        <f>'23.Налоги'!N11</f>
        <v>#REF!</v>
      </c>
      <c r="L35" s="1490" t="e">
        <f>SUM(D35:K35)</f>
        <v>#REF!</v>
      </c>
    </row>
    <row r="36" spans="2:13" ht="19.5" customHeight="1" thickBot="1">
      <c r="B36" s="1420" t="s">
        <v>386</v>
      </c>
      <c r="C36" s="1323" t="s">
        <v>419</v>
      </c>
      <c r="D36" s="1496" t="e">
        <f>+D33-D34-D35</f>
        <v>#REF!</v>
      </c>
      <c r="E36" s="1496" t="e">
        <f t="shared" ref="E36:K36" si="13">+E33-E34-E35</f>
        <v>#REF!</v>
      </c>
      <c r="F36" s="1496" t="e">
        <f t="shared" si="13"/>
        <v>#REF!</v>
      </c>
      <c r="G36" s="1496" t="e">
        <f t="shared" si="13"/>
        <v>#REF!</v>
      </c>
      <c r="H36" s="1496" t="e">
        <f t="shared" si="13"/>
        <v>#REF!</v>
      </c>
      <c r="I36" s="1496" t="e">
        <f t="shared" si="13"/>
        <v>#REF!</v>
      </c>
      <c r="J36" s="1496" t="e">
        <f t="shared" si="13"/>
        <v>#REF!</v>
      </c>
      <c r="K36" s="1496" t="e">
        <f t="shared" si="13"/>
        <v>#REF!</v>
      </c>
      <c r="L36" s="1497" t="e">
        <f t="shared" ref="L36" si="14">+L33-L34</f>
        <v>#REF!</v>
      </c>
    </row>
    <row r="37" spans="2:13" ht="13.5" thickBot="1">
      <c r="B37" s="1424"/>
      <c r="C37" s="1425"/>
      <c r="D37" s="1426"/>
      <c r="E37" s="1426"/>
      <c r="F37" s="1426"/>
      <c r="G37" s="1426"/>
      <c r="H37" s="1426"/>
      <c r="I37" s="1426"/>
      <c r="J37" s="1426"/>
      <c r="K37" s="1426"/>
      <c r="L37" s="1427"/>
    </row>
    <row r="38" spans="2:13" ht="19.5" customHeight="1">
      <c r="B38" s="1429" t="s">
        <v>381</v>
      </c>
      <c r="C38" s="1430" t="s">
        <v>382</v>
      </c>
      <c r="D38" s="1498">
        <v>1</v>
      </c>
      <c r="E38" s="1498">
        <f t="shared" ref="E38:K38" si="15">D38+1</f>
        <v>2</v>
      </c>
      <c r="F38" s="1498">
        <f t="shared" si="15"/>
        <v>3</v>
      </c>
      <c r="G38" s="1498">
        <f t="shared" si="15"/>
        <v>4</v>
      </c>
      <c r="H38" s="1498">
        <f t="shared" si="15"/>
        <v>5</v>
      </c>
      <c r="I38" s="1498">
        <f t="shared" si="15"/>
        <v>6</v>
      </c>
      <c r="J38" s="1498">
        <f t="shared" si="15"/>
        <v>7</v>
      </c>
      <c r="K38" s="1498">
        <f t="shared" si="15"/>
        <v>8</v>
      </c>
      <c r="L38" s="1499"/>
      <c r="M38" s="622"/>
    </row>
    <row r="39" spans="2:13" s="625" customFormat="1" ht="19.5" customHeight="1">
      <c r="B39" s="1421" t="s">
        <v>118</v>
      </c>
      <c r="C39" s="623" t="str">
        <f>C47</f>
        <v>Сумма гранта СЖФ</v>
      </c>
      <c r="D39" s="1500">
        <f>D16</f>
        <v>0</v>
      </c>
      <c r="E39" s="1500"/>
      <c r="F39" s="1500"/>
      <c r="G39" s="1500"/>
      <c r="H39" s="1500"/>
      <c r="I39" s="1500"/>
      <c r="J39" s="1500"/>
      <c r="K39" s="1500"/>
      <c r="L39" s="1501">
        <f>SUM(D39:K39)</f>
        <v>0</v>
      </c>
      <c r="M39" s="624"/>
    </row>
    <row r="40" spans="2:13" s="625" customFormat="1" ht="19.5" customHeight="1">
      <c r="B40" s="1421" t="s">
        <v>117</v>
      </c>
      <c r="C40" s="623" t="s">
        <v>383</v>
      </c>
      <c r="D40" s="1500" t="e">
        <f>SUM(D36)</f>
        <v>#REF!</v>
      </c>
      <c r="E40" s="1500" t="e">
        <f t="shared" ref="E40:K40" si="16">SUM(E36)</f>
        <v>#REF!</v>
      </c>
      <c r="F40" s="1500" t="e">
        <f t="shared" si="16"/>
        <v>#REF!</v>
      </c>
      <c r="G40" s="1500" t="e">
        <f t="shared" si="16"/>
        <v>#REF!</v>
      </c>
      <c r="H40" s="1500" t="e">
        <f t="shared" si="16"/>
        <v>#REF!</v>
      </c>
      <c r="I40" s="1500" t="e">
        <f t="shared" si="16"/>
        <v>#REF!</v>
      </c>
      <c r="J40" s="1500" t="e">
        <f t="shared" si="16"/>
        <v>#REF!</v>
      </c>
      <c r="K40" s="1500" t="e">
        <f t="shared" si="16"/>
        <v>#REF!</v>
      </c>
      <c r="L40" s="1501" t="e">
        <f>MAX(D40:K40)</f>
        <v>#REF!</v>
      </c>
      <c r="M40" s="624"/>
    </row>
    <row r="41" spans="2:13" s="625" customFormat="1" ht="19.5" customHeight="1">
      <c r="B41" s="1421" t="s">
        <v>123</v>
      </c>
      <c r="C41" s="623"/>
      <c r="D41" s="1500" t="e">
        <f>D40-D39</f>
        <v>#REF!</v>
      </c>
      <c r="E41" s="1500" t="e">
        <f>D41+E40</f>
        <v>#REF!</v>
      </c>
      <c r="F41" s="1500" t="e">
        <f t="shared" ref="F41:K41" si="17">E41+F40</f>
        <v>#REF!</v>
      </c>
      <c r="G41" s="1500" t="e">
        <f t="shared" si="17"/>
        <v>#REF!</v>
      </c>
      <c r="H41" s="1500" t="e">
        <f t="shared" si="17"/>
        <v>#REF!</v>
      </c>
      <c r="I41" s="1500" t="e">
        <f t="shared" si="17"/>
        <v>#REF!</v>
      </c>
      <c r="J41" s="1500" t="e">
        <f t="shared" si="17"/>
        <v>#REF!</v>
      </c>
      <c r="K41" s="1500" t="e">
        <f t="shared" si="17"/>
        <v>#REF!</v>
      </c>
      <c r="L41" s="1501"/>
      <c r="M41" s="624"/>
    </row>
    <row r="42" spans="2:13" s="620" customFormat="1" ht="19.5" customHeight="1">
      <c r="B42" s="1431" t="s">
        <v>128</v>
      </c>
      <c r="C42" s="1428" t="s">
        <v>384</v>
      </c>
      <c r="D42" s="1502" t="e">
        <f>IF(D41=0,D38,IF(AND(C41&lt;0,D41&gt;0),D38-D41/(D41-C41),0))</f>
        <v>#REF!</v>
      </c>
      <c r="E42" s="1502" t="e">
        <f t="shared" ref="E42:K42" si="18">IF(E41=0,E38,IF(AND(D41&lt;0,E41&gt;0),E38-E41/(E41-D41),0))</f>
        <v>#REF!</v>
      </c>
      <c r="F42" s="1502" t="e">
        <f>IF(F41=0,F38,IF(AND(E41&lt;0,F41&gt;0),F38-F41/(F41-E41),0))</f>
        <v>#REF!</v>
      </c>
      <c r="G42" s="1502" t="e">
        <f t="shared" si="18"/>
        <v>#REF!</v>
      </c>
      <c r="H42" s="1502" t="e">
        <f t="shared" si="18"/>
        <v>#REF!</v>
      </c>
      <c r="I42" s="1502" t="e">
        <f t="shared" si="18"/>
        <v>#REF!</v>
      </c>
      <c r="J42" s="1502" t="e">
        <f t="shared" si="18"/>
        <v>#REF!</v>
      </c>
      <c r="K42" s="1502" t="e">
        <f t="shared" si="18"/>
        <v>#REF!</v>
      </c>
      <c r="L42" s="1503" t="e">
        <f>MAX(D42:K42)</f>
        <v>#REF!</v>
      </c>
      <c r="M42" s="626"/>
    </row>
    <row r="43" spans="2:13" ht="15.75">
      <c r="B43" s="1432" t="s">
        <v>380</v>
      </c>
      <c r="C43" s="621" t="s">
        <v>385</v>
      </c>
      <c r="D43" s="1504" t="e">
        <f t="shared" ref="D43:K43" si="19">IF(AND(D42=0),0,D7)</f>
        <v>#REF!</v>
      </c>
      <c r="E43" s="1504" t="e">
        <f t="shared" si="19"/>
        <v>#REF!</v>
      </c>
      <c r="F43" s="1504" t="e">
        <f t="shared" si="19"/>
        <v>#REF!</v>
      </c>
      <c r="G43" s="1504" t="e">
        <f t="shared" si="19"/>
        <v>#REF!</v>
      </c>
      <c r="H43" s="1504" t="e">
        <f t="shared" si="19"/>
        <v>#REF!</v>
      </c>
      <c r="I43" s="1504" t="e">
        <f t="shared" si="19"/>
        <v>#REF!</v>
      </c>
      <c r="J43" s="1504" t="e">
        <f t="shared" si="19"/>
        <v>#REF!</v>
      </c>
      <c r="K43" s="1504" t="e">
        <f t="shared" si="19"/>
        <v>#REF!</v>
      </c>
      <c r="L43" s="1503" t="e">
        <f>MAX(D43:K43)</f>
        <v>#REF!</v>
      </c>
      <c r="M43" s="622"/>
    </row>
    <row r="44" spans="2:13" ht="16.5" thickBot="1">
      <c r="B44" s="1422" t="s">
        <v>386</v>
      </c>
      <c r="C44" s="1423" t="s">
        <v>387</v>
      </c>
      <c r="D44" s="1505" t="e">
        <f t="shared" ref="D44:K44" si="20">IF(AND(D42=0),0,D19)</f>
        <v>#REF!</v>
      </c>
      <c r="E44" s="1505" t="e">
        <f t="shared" si="20"/>
        <v>#REF!</v>
      </c>
      <c r="F44" s="1505" t="e">
        <f t="shared" si="20"/>
        <v>#REF!</v>
      </c>
      <c r="G44" s="1505" t="e">
        <f t="shared" si="20"/>
        <v>#REF!</v>
      </c>
      <c r="H44" s="1505" t="e">
        <f t="shared" si="20"/>
        <v>#REF!</v>
      </c>
      <c r="I44" s="1505" t="e">
        <f t="shared" si="20"/>
        <v>#REF!</v>
      </c>
      <c r="J44" s="1505" t="e">
        <f t="shared" si="20"/>
        <v>#REF!</v>
      </c>
      <c r="K44" s="1505" t="e">
        <f t="shared" si="20"/>
        <v>#REF!</v>
      </c>
      <c r="L44" s="1506" t="e">
        <f>MAX(D44:K44)</f>
        <v>#REF!</v>
      </c>
      <c r="M44" s="622"/>
    </row>
    <row r="45" spans="2:13" ht="16.5" thickBot="1">
      <c r="B45" s="627"/>
      <c r="C45" s="627"/>
      <c r="D45" s="628"/>
      <c r="E45" s="627"/>
      <c r="F45" s="627"/>
      <c r="G45" s="627"/>
      <c r="H45" s="627"/>
      <c r="I45" s="627"/>
      <c r="J45" s="627"/>
      <c r="K45" s="627"/>
      <c r="L45" s="627"/>
      <c r="M45" s="627"/>
    </row>
    <row r="46" spans="2:13" ht="16.5" thickBot="1">
      <c r="B46" s="1450" t="s">
        <v>381</v>
      </c>
      <c r="C46" s="1451" t="s">
        <v>239</v>
      </c>
      <c r="D46" s="1452" t="s">
        <v>185</v>
      </c>
      <c r="E46" s="627"/>
      <c r="F46" s="627"/>
      <c r="G46" s="627"/>
      <c r="H46" s="627"/>
      <c r="I46" s="627"/>
      <c r="J46" s="627"/>
      <c r="K46" s="627"/>
      <c r="L46" s="627"/>
      <c r="M46" s="627"/>
    </row>
    <row r="47" spans="2:13" ht="15.75">
      <c r="B47" s="1447" t="s">
        <v>118</v>
      </c>
      <c r="C47" s="1448" t="s">
        <v>388</v>
      </c>
      <c r="D47" s="1449">
        <f>D39</f>
        <v>0</v>
      </c>
      <c r="E47" s="627"/>
      <c r="F47" s="627"/>
      <c r="G47" s="627"/>
      <c r="H47" s="627"/>
      <c r="I47" s="627"/>
      <c r="J47" s="627"/>
      <c r="K47" s="627"/>
      <c r="L47" s="627"/>
      <c r="M47" s="627"/>
    </row>
    <row r="48" spans="2:13" ht="15.75">
      <c r="B48" s="1432" t="s">
        <v>117</v>
      </c>
      <c r="C48" s="629" t="s">
        <v>364</v>
      </c>
      <c r="D48" s="1444">
        <f>D17</f>
        <v>0</v>
      </c>
      <c r="E48" s="627"/>
      <c r="F48" s="627"/>
      <c r="G48" s="630"/>
      <c r="H48" s="627"/>
      <c r="I48" s="627"/>
      <c r="J48" s="627"/>
      <c r="K48" s="627"/>
      <c r="L48" s="627"/>
      <c r="M48" s="627"/>
    </row>
    <row r="49" spans="2:13" ht="15.75">
      <c r="B49" s="1432" t="s">
        <v>123</v>
      </c>
      <c r="C49" s="629" t="s">
        <v>389</v>
      </c>
      <c r="D49" s="1444">
        <f>D15</f>
        <v>0</v>
      </c>
      <c r="E49" s="627"/>
      <c r="F49" s="627"/>
      <c r="G49" s="627"/>
      <c r="H49" s="627"/>
      <c r="I49" s="627"/>
      <c r="J49" s="627"/>
      <c r="K49" s="627"/>
      <c r="L49" s="627"/>
      <c r="M49" s="627"/>
    </row>
    <row r="50" spans="2:13" ht="15.75">
      <c r="B50" s="1432" t="s">
        <v>128</v>
      </c>
      <c r="C50" s="629" t="s">
        <v>390</v>
      </c>
      <c r="D50" s="1444">
        <v>0</v>
      </c>
      <c r="E50" s="627"/>
      <c r="F50" s="627"/>
      <c r="G50" s="627"/>
      <c r="H50" s="627"/>
      <c r="I50" s="627"/>
      <c r="J50" s="627"/>
      <c r="K50" s="627"/>
      <c r="L50" s="627"/>
      <c r="M50" s="627"/>
    </row>
    <row r="51" spans="2:13" ht="15.75">
      <c r="B51" s="1432" t="s">
        <v>380</v>
      </c>
      <c r="C51" s="629" t="s">
        <v>391</v>
      </c>
      <c r="D51" s="1444" t="e">
        <f>L43</f>
        <v>#REF!</v>
      </c>
      <c r="E51" s="627"/>
      <c r="F51" s="627"/>
      <c r="G51" s="627"/>
      <c r="H51" s="627"/>
      <c r="I51" s="627"/>
      <c r="J51" s="627"/>
      <c r="K51" s="627"/>
      <c r="L51" s="627"/>
      <c r="M51" s="627"/>
    </row>
    <row r="52" spans="2:13" ht="15.75">
      <c r="B52" s="1432" t="s">
        <v>386</v>
      </c>
      <c r="C52" s="629" t="s">
        <v>392</v>
      </c>
      <c r="D52" s="1444">
        <f>D47+D48+D49</f>
        <v>0</v>
      </c>
      <c r="E52" s="627"/>
      <c r="F52" s="627"/>
      <c r="G52" s="627"/>
      <c r="H52" s="627"/>
      <c r="I52" s="627"/>
      <c r="J52" s="627"/>
      <c r="K52" s="627"/>
      <c r="L52" s="627"/>
      <c r="M52" s="627"/>
    </row>
    <row r="53" spans="2:13" ht="15.75">
      <c r="B53" s="1432" t="s">
        <v>393</v>
      </c>
      <c r="C53" s="629" t="s">
        <v>394</v>
      </c>
      <c r="D53" s="1444" t="e">
        <f>L44</f>
        <v>#REF!</v>
      </c>
      <c r="E53" s="627"/>
      <c r="F53" s="627"/>
      <c r="G53" s="627"/>
      <c r="H53" s="627"/>
      <c r="I53" s="627"/>
      <c r="J53" s="627"/>
      <c r="K53" s="627"/>
      <c r="L53" s="627"/>
      <c r="M53" s="627"/>
    </row>
    <row r="54" spans="2:13" ht="15.75">
      <c r="B54" s="1432" t="s">
        <v>395</v>
      </c>
      <c r="C54" s="629" t="s">
        <v>396</v>
      </c>
      <c r="D54" s="1444" t="e">
        <f>D52+D53</f>
        <v>#REF!</v>
      </c>
      <c r="E54" s="627"/>
      <c r="F54" s="627"/>
      <c r="G54" s="627"/>
      <c r="H54" s="627"/>
      <c r="I54" s="627"/>
      <c r="J54" s="627"/>
      <c r="K54" s="627"/>
      <c r="L54" s="627"/>
      <c r="M54" s="627"/>
    </row>
    <row r="55" spans="2:13" ht="15.75">
      <c r="B55" s="1432" t="s">
        <v>397</v>
      </c>
      <c r="C55" s="629" t="s">
        <v>398</v>
      </c>
      <c r="D55" s="1444" t="e">
        <f>D47+D48+D49+D50+D51-D52-D53</f>
        <v>#REF!</v>
      </c>
      <c r="E55" s="627"/>
      <c r="F55" s="627"/>
      <c r="G55" s="627"/>
      <c r="H55" s="627"/>
      <c r="I55" s="627"/>
      <c r="J55" s="627"/>
      <c r="K55" s="627"/>
      <c r="L55" s="627"/>
      <c r="M55" s="627"/>
    </row>
    <row r="56" spans="2:13" ht="16.5" thickBot="1">
      <c r="B56" s="1422" t="s">
        <v>399</v>
      </c>
      <c r="C56" s="1445" t="s">
        <v>400</v>
      </c>
      <c r="D56" s="1446" t="e">
        <f>D55/D54*100</f>
        <v>#REF!</v>
      </c>
      <c r="E56" s="627"/>
      <c r="F56" s="627"/>
      <c r="G56" s="627"/>
      <c r="H56" s="627"/>
      <c r="I56" s="627"/>
      <c r="J56" s="627"/>
      <c r="K56" s="627"/>
      <c r="L56" s="627"/>
      <c r="M56" s="627"/>
    </row>
    <row r="57" spans="2:13" ht="15">
      <c r="B57" s="631"/>
      <c r="C57" s="622"/>
      <c r="D57" s="622"/>
      <c r="E57" s="622"/>
      <c r="F57" s="622"/>
      <c r="G57" s="622"/>
      <c r="H57" s="622"/>
      <c r="I57" s="622"/>
      <c r="J57" s="622"/>
      <c r="K57" s="622"/>
      <c r="L57" s="622"/>
      <c r="M57" s="622"/>
    </row>
    <row r="58" spans="2:13" ht="7.5" customHeight="1">
      <c r="B58" s="631"/>
      <c r="C58" s="622"/>
      <c r="D58" s="622"/>
      <c r="E58" s="622"/>
      <c r="F58" s="622"/>
      <c r="G58" s="622"/>
      <c r="H58" s="622"/>
      <c r="I58" s="622"/>
      <c r="J58" s="622"/>
      <c r="K58" s="622"/>
      <c r="L58" s="622"/>
      <c r="M58" s="622"/>
    </row>
    <row r="59" spans="2:13" hidden="1">
      <c r="B59" s="863" t="s">
        <v>409</v>
      </c>
    </row>
    <row r="60" spans="2:13" hidden="1">
      <c r="B60" s="863" t="s">
        <v>410</v>
      </c>
    </row>
    <row r="61" spans="2:13" hidden="1">
      <c r="B61" s="863" t="s">
        <v>411</v>
      </c>
    </row>
    <row r="62" spans="2:13" hidden="1">
      <c r="B62" s="863" t="s">
        <v>412</v>
      </c>
    </row>
    <row r="63" spans="2:13" hidden="1">
      <c r="B63" s="863" t="s">
        <v>413</v>
      </c>
    </row>
    <row r="64" spans="2:13" hidden="1">
      <c r="B64" s="863" t="s">
        <v>414</v>
      </c>
    </row>
    <row r="65" spans="2:12" hidden="1">
      <c r="B65" s="863" t="s">
        <v>415</v>
      </c>
    </row>
    <row r="66" spans="2:12">
      <c r="B66" s="863"/>
    </row>
    <row r="67" spans="2:12" hidden="1">
      <c r="B67" s="863"/>
      <c r="D67" s="864" t="e">
        <f>+D19+D34</f>
        <v>#REF!</v>
      </c>
      <c r="E67" s="864" t="e">
        <f t="shared" ref="E67:K67" si="21">+E19+E34</f>
        <v>#REF!</v>
      </c>
      <c r="F67" s="864" t="e">
        <f t="shared" si="21"/>
        <v>#REF!</v>
      </c>
      <c r="G67" s="864" t="e">
        <f t="shared" si="21"/>
        <v>#REF!</v>
      </c>
      <c r="H67" s="864" t="e">
        <f t="shared" si="21"/>
        <v>#REF!</v>
      </c>
      <c r="I67" s="864" t="e">
        <f t="shared" si="21"/>
        <v>#REF!</v>
      </c>
      <c r="J67" s="864" t="e">
        <f t="shared" si="21"/>
        <v>#REF!</v>
      </c>
      <c r="K67" s="864" t="e">
        <f t="shared" si="21"/>
        <v>#REF!</v>
      </c>
    </row>
    <row r="68" spans="2:12" hidden="1">
      <c r="B68" s="863"/>
      <c r="D68" s="864" t="e">
        <f>+D7-D67</f>
        <v>#REF!</v>
      </c>
    </row>
    <row r="69" spans="2:12" hidden="1">
      <c r="B69" s="863"/>
    </row>
    <row r="70" spans="2:12" hidden="1">
      <c r="B70" s="863"/>
    </row>
    <row r="71" spans="2:12" hidden="1">
      <c r="B71" s="863"/>
    </row>
    <row r="72" spans="2:12" hidden="1">
      <c r="B72" s="863"/>
    </row>
    <row r="73" spans="2:12" hidden="1"/>
    <row r="74" spans="2:12" hidden="1">
      <c r="D74" s="864" t="e">
        <f>+D19+D34</f>
        <v>#REF!</v>
      </c>
      <c r="E74" s="864" t="e">
        <f t="shared" ref="E74:L74" si="22">+E19+E34</f>
        <v>#REF!</v>
      </c>
      <c r="F74" s="864" t="e">
        <f t="shared" si="22"/>
        <v>#REF!</v>
      </c>
      <c r="G74" s="864" t="e">
        <f t="shared" si="22"/>
        <v>#REF!</v>
      </c>
      <c r="H74" s="864" t="e">
        <f t="shared" si="22"/>
        <v>#REF!</v>
      </c>
      <c r="I74" s="864" t="e">
        <f t="shared" si="22"/>
        <v>#REF!</v>
      </c>
      <c r="J74" s="864" t="e">
        <f t="shared" si="22"/>
        <v>#REF!</v>
      </c>
      <c r="K74" s="864" t="e">
        <f t="shared" si="22"/>
        <v>#REF!</v>
      </c>
      <c r="L74" s="864" t="e">
        <f t="shared" si="22"/>
        <v>#REF!</v>
      </c>
    </row>
    <row r="75" spans="2:12" hidden="1">
      <c r="D75" s="864" t="e">
        <f>+D74-ТРП!#REF!</f>
        <v>#REF!</v>
      </c>
      <c r="E75" s="866" t="e">
        <f>+E74-ТРП!#REF!</f>
        <v>#REF!</v>
      </c>
      <c r="F75" s="866" t="e">
        <f>+F74-ТРП!#REF!</f>
        <v>#REF!</v>
      </c>
      <c r="G75" s="866" t="e">
        <f>+G74-ТРП!#REF!</f>
        <v>#REF!</v>
      </c>
      <c r="H75" s="866" t="e">
        <f>+H74-ТРП!#REF!</f>
        <v>#REF!</v>
      </c>
      <c r="I75" s="866" t="e">
        <f>+I74-ТРП!#REF!</f>
        <v>#REF!</v>
      </c>
      <c r="J75" s="866" t="e">
        <f>+J74-ТРП!#REF!</f>
        <v>#REF!</v>
      </c>
      <c r="K75" s="866" t="e">
        <f>+K74-ТРП!#REF!</f>
        <v>#REF!</v>
      </c>
      <c r="L75" s="866"/>
    </row>
    <row r="76" spans="2:12" hidden="1"/>
    <row r="77" spans="2:12" hidden="1"/>
    <row r="79" spans="2:12">
      <c r="D79" s="866" t="e">
        <f>D20+D31+D34+D35</f>
        <v>#REF!</v>
      </c>
      <c r="E79" s="866" t="e">
        <f t="shared" ref="E79:H79" si="23">E20+E31+E34+E35</f>
        <v>#REF!</v>
      </c>
      <c r="F79" s="866" t="e">
        <f t="shared" si="23"/>
        <v>#REF!</v>
      </c>
      <c r="G79" s="866" t="e">
        <f t="shared" si="23"/>
        <v>#REF!</v>
      </c>
      <c r="H79" s="866" t="e">
        <f t="shared" si="23"/>
        <v>#REF!</v>
      </c>
      <c r="I79" s="866"/>
      <c r="J79" s="866"/>
      <c r="K79" s="866"/>
      <c r="L79" s="866"/>
    </row>
    <row r="81" spans="4:7">
      <c r="D81" s="866"/>
      <c r="E81" s="866"/>
      <c r="F81" s="866"/>
      <c r="G81" s="866"/>
    </row>
  </sheetData>
  <mergeCells count="5">
    <mergeCell ref="B5:C6"/>
    <mergeCell ref="D5:L5"/>
    <mergeCell ref="B2:L2"/>
    <mergeCell ref="B3:L3"/>
    <mergeCell ref="O5:S5"/>
  </mergeCells>
  <conditionalFormatting sqref="D7:L42">
    <cfRule type="cellIs" dxfId="7" priority="2" operator="equal">
      <formula>0</formula>
    </cfRule>
  </conditionalFormatting>
  <conditionalFormatting sqref="D47:D56">
    <cfRule type="cellIs" dxfId="6" priority="1" operator="equal">
      <formula>0</formula>
    </cfRule>
  </conditionalFormatting>
  <hyperlinks>
    <hyperlink ref="O5:S5" location="начало!A1" display="Переход на начальную страницу"/>
  </hyperlinks>
  <printOptions horizontalCentered="1"/>
  <pageMargins left="0.78740157480314965" right="0.39370078740157483" top="0.78740157480314965" bottom="0.78740157480314965" header="0.31496062992125984" footer="0.31496062992125984"/>
  <pageSetup paperSize="9" scale="4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220"/>
  <sheetViews>
    <sheetView topLeftCell="A151" workbookViewId="0">
      <selection activeCell="L181" sqref="L181"/>
    </sheetView>
  </sheetViews>
  <sheetFormatPr defaultRowHeight="12.75" outlineLevelRow="1"/>
  <cols>
    <col min="1" max="1" width="34.5703125" customWidth="1"/>
    <col min="2" max="2" width="6.5703125" bestFit="1" customWidth="1"/>
    <col min="3" max="3" width="7.5703125" bestFit="1" customWidth="1"/>
    <col min="4" max="4" width="10" bestFit="1" customWidth="1"/>
    <col min="5" max="5" width="11" customWidth="1"/>
    <col min="6" max="6" width="7" bestFit="1" customWidth="1"/>
    <col min="7" max="7" width="6.42578125" bestFit="1" customWidth="1"/>
    <col min="8" max="8" width="5.28515625" customWidth="1"/>
    <col min="9" max="9" width="5.5703125" bestFit="1" customWidth="1"/>
    <col min="10" max="12" width="5.28515625" bestFit="1" customWidth="1"/>
    <col min="13" max="13" width="5.42578125" bestFit="1" customWidth="1"/>
    <col min="14" max="14" width="7.140625" bestFit="1" customWidth="1"/>
    <col min="15" max="15" width="6.42578125" bestFit="1" customWidth="1"/>
    <col min="16" max="16" width="5.85546875" bestFit="1" customWidth="1"/>
    <col min="17" max="17" width="6.28515625" bestFit="1" customWidth="1"/>
    <col min="18" max="18" width="6.140625" bestFit="1" customWidth="1"/>
    <col min="257" max="257" width="34.5703125" customWidth="1"/>
    <col min="258" max="258" width="6.5703125" bestFit="1" customWidth="1"/>
    <col min="259" max="259" width="7.5703125" bestFit="1" customWidth="1"/>
    <col min="260" max="260" width="10" bestFit="1" customWidth="1"/>
    <col min="261" max="261" width="11" customWidth="1"/>
    <col min="262" max="262" width="7" bestFit="1" customWidth="1"/>
    <col min="263" max="263" width="6.42578125" bestFit="1" customWidth="1"/>
    <col min="264" max="264" width="5.28515625" customWidth="1"/>
    <col min="265" max="265" width="5.5703125" bestFit="1" customWidth="1"/>
    <col min="266" max="268" width="5.28515625" bestFit="1" customWidth="1"/>
    <col min="269" max="269" width="5.42578125" bestFit="1" customWidth="1"/>
    <col min="270" max="270" width="7.140625" bestFit="1" customWidth="1"/>
    <col min="271" max="271" width="6.42578125" bestFit="1" customWidth="1"/>
    <col min="272" max="272" width="5.85546875" bestFit="1" customWidth="1"/>
    <col min="273" max="273" width="6.28515625" bestFit="1" customWidth="1"/>
    <col min="274" max="274" width="6.140625" bestFit="1" customWidth="1"/>
    <col min="513" max="513" width="34.5703125" customWidth="1"/>
    <col min="514" max="514" width="6.5703125" bestFit="1" customWidth="1"/>
    <col min="515" max="515" width="7.5703125" bestFit="1" customWidth="1"/>
    <col min="516" max="516" width="10" bestFit="1" customWidth="1"/>
    <col min="517" max="517" width="11" customWidth="1"/>
    <col min="518" max="518" width="7" bestFit="1" customWidth="1"/>
    <col min="519" max="519" width="6.42578125" bestFit="1" customWidth="1"/>
    <col min="520" max="520" width="5.28515625" customWidth="1"/>
    <col min="521" max="521" width="5.5703125" bestFit="1" customWidth="1"/>
    <col min="522" max="524" width="5.28515625" bestFit="1" customWidth="1"/>
    <col min="525" max="525" width="5.42578125" bestFit="1" customWidth="1"/>
    <col min="526" max="526" width="7.140625" bestFit="1" customWidth="1"/>
    <col min="527" max="527" width="6.42578125" bestFit="1" customWidth="1"/>
    <col min="528" max="528" width="5.85546875" bestFit="1" customWidth="1"/>
    <col min="529" max="529" width="6.28515625" bestFit="1" customWidth="1"/>
    <col min="530" max="530" width="6.140625" bestFit="1" customWidth="1"/>
    <col min="769" max="769" width="34.5703125" customWidth="1"/>
    <col min="770" max="770" width="6.5703125" bestFit="1" customWidth="1"/>
    <col min="771" max="771" width="7.5703125" bestFit="1" customWidth="1"/>
    <col min="772" max="772" width="10" bestFit="1" customWidth="1"/>
    <col min="773" max="773" width="11" customWidth="1"/>
    <col min="774" max="774" width="7" bestFit="1" customWidth="1"/>
    <col min="775" max="775" width="6.42578125" bestFit="1" customWidth="1"/>
    <col min="776" max="776" width="5.28515625" customWidth="1"/>
    <col min="777" max="777" width="5.5703125" bestFit="1" customWidth="1"/>
    <col min="778" max="780" width="5.28515625" bestFit="1" customWidth="1"/>
    <col min="781" max="781" width="5.42578125" bestFit="1" customWidth="1"/>
    <col min="782" max="782" width="7.140625" bestFit="1" customWidth="1"/>
    <col min="783" max="783" width="6.42578125" bestFit="1" customWidth="1"/>
    <col min="784" max="784" width="5.85546875" bestFit="1" customWidth="1"/>
    <col min="785" max="785" width="6.28515625" bestFit="1" customWidth="1"/>
    <col min="786" max="786" width="6.140625" bestFit="1" customWidth="1"/>
    <col min="1025" max="1025" width="34.5703125" customWidth="1"/>
    <col min="1026" max="1026" width="6.5703125" bestFit="1" customWidth="1"/>
    <col min="1027" max="1027" width="7.5703125" bestFit="1" customWidth="1"/>
    <col min="1028" max="1028" width="10" bestFit="1" customWidth="1"/>
    <col min="1029" max="1029" width="11" customWidth="1"/>
    <col min="1030" max="1030" width="7" bestFit="1" customWidth="1"/>
    <col min="1031" max="1031" width="6.42578125" bestFit="1" customWidth="1"/>
    <col min="1032" max="1032" width="5.28515625" customWidth="1"/>
    <col min="1033" max="1033" width="5.5703125" bestFit="1" customWidth="1"/>
    <col min="1034" max="1036" width="5.28515625" bestFit="1" customWidth="1"/>
    <col min="1037" max="1037" width="5.42578125" bestFit="1" customWidth="1"/>
    <col min="1038" max="1038" width="7.140625" bestFit="1" customWidth="1"/>
    <col min="1039" max="1039" width="6.42578125" bestFit="1" customWidth="1"/>
    <col min="1040" max="1040" width="5.85546875" bestFit="1" customWidth="1"/>
    <col min="1041" max="1041" width="6.28515625" bestFit="1" customWidth="1"/>
    <col min="1042" max="1042" width="6.140625" bestFit="1" customWidth="1"/>
    <col min="1281" max="1281" width="34.5703125" customWidth="1"/>
    <col min="1282" max="1282" width="6.5703125" bestFit="1" customWidth="1"/>
    <col min="1283" max="1283" width="7.5703125" bestFit="1" customWidth="1"/>
    <col min="1284" max="1284" width="10" bestFit="1" customWidth="1"/>
    <col min="1285" max="1285" width="11" customWidth="1"/>
    <col min="1286" max="1286" width="7" bestFit="1" customWidth="1"/>
    <col min="1287" max="1287" width="6.42578125" bestFit="1" customWidth="1"/>
    <col min="1288" max="1288" width="5.28515625" customWidth="1"/>
    <col min="1289" max="1289" width="5.5703125" bestFit="1" customWidth="1"/>
    <col min="1290" max="1292" width="5.28515625" bestFit="1" customWidth="1"/>
    <col min="1293" max="1293" width="5.42578125" bestFit="1" customWidth="1"/>
    <col min="1294" max="1294" width="7.140625" bestFit="1" customWidth="1"/>
    <col min="1295" max="1295" width="6.42578125" bestFit="1" customWidth="1"/>
    <col min="1296" max="1296" width="5.85546875" bestFit="1" customWidth="1"/>
    <col min="1297" max="1297" width="6.28515625" bestFit="1" customWidth="1"/>
    <col min="1298" max="1298" width="6.140625" bestFit="1" customWidth="1"/>
    <col min="1537" max="1537" width="34.5703125" customWidth="1"/>
    <col min="1538" max="1538" width="6.5703125" bestFit="1" customWidth="1"/>
    <col min="1539" max="1539" width="7.5703125" bestFit="1" customWidth="1"/>
    <col min="1540" max="1540" width="10" bestFit="1" customWidth="1"/>
    <col min="1541" max="1541" width="11" customWidth="1"/>
    <col min="1542" max="1542" width="7" bestFit="1" customWidth="1"/>
    <col min="1543" max="1543" width="6.42578125" bestFit="1" customWidth="1"/>
    <col min="1544" max="1544" width="5.28515625" customWidth="1"/>
    <col min="1545" max="1545" width="5.5703125" bestFit="1" customWidth="1"/>
    <col min="1546" max="1548" width="5.28515625" bestFit="1" customWidth="1"/>
    <col min="1549" max="1549" width="5.42578125" bestFit="1" customWidth="1"/>
    <col min="1550" max="1550" width="7.140625" bestFit="1" customWidth="1"/>
    <col min="1551" max="1551" width="6.42578125" bestFit="1" customWidth="1"/>
    <col min="1552" max="1552" width="5.85546875" bestFit="1" customWidth="1"/>
    <col min="1553" max="1553" width="6.28515625" bestFit="1" customWidth="1"/>
    <col min="1554" max="1554" width="6.140625" bestFit="1" customWidth="1"/>
    <col min="1793" max="1793" width="34.5703125" customWidth="1"/>
    <col min="1794" max="1794" width="6.5703125" bestFit="1" customWidth="1"/>
    <col min="1795" max="1795" width="7.5703125" bestFit="1" customWidth="1"/>
    <col min="1796" max="1796" width="10" bestFit="1" customWidth="1"/>
    <col min="1797" max="1797" width="11" customWidth="1"/>
    <col min="1798" max="1798" width="7" bestFit="1" customWidth="1"/>
    <col min="1799" max="1799" width="6.42578125" bestFit="1" customWidth="1"/>
    <col min="1800" max="1800" width="5.28515625" customWidth="1"/>
    <col min="1801" max="1801" width="5.5703125" bestFit="1" customWidth="1"/>
    <col min="1802" max="1804" width="5.28515625" bestFit="1" customWidth="1"/>
    <col min="1805" max="1805" width="5.42578125" bestFit="1" customWidth="1"/>
    <col min="1806" max="1806" width="7.140625" bestFit="1" customWidth="1"/>
    <col min="1807" max="1807" width="6.42578125" bestFit="1" customWidth="1"/>
    <col min="1808" max="1808" width="5.85546875" bestFit="1" customWidth="1"/>
    <col min="1809" max="1809" width="6.28515625" bestFit="1" customWidth="1"/>
    <col min="1810" max="1810" width="6.140625" bestFit="1" customWidth="1"/>
    <col min="2049" max="2049" width="34.5703125" customWidth="1"/>
    <col min="2050" max="2050" width="6.5703125" bestFit="1" customWidth="1"/>
    <col min="2051" max="2051" width="7.5703125" bestFit="1" customWidth="1"/>
    <col min="2052" max="2052" width="10" bestFit="1" customWidth="1"/>
    <col min="2053" max="2053" width="11" customWidth="1"/>
    <col min="2054" max="2054" width="7" bestFit="1" customWidth="1"/>
    <col min="2055" max="2055" width="6.42578125" bestFit="1" customWidth="1"/>
    <col min="2056" max="2056" width="5.28515625" customWidth="1"/>
    <col min="2057" max="2057" width="5.5703125" bestFit="1" customWidth="1"/>
    <col min="2058" max="2060" width="5.28515625" bestFit="1" customWidth="1"/>
    <col min="2061" max="2061" width="5.42578125" bestFit="1" customWidth="1"/>
    <col min="2062" max="2062" width="7.140625" bestFit="1" customWidth="1"/>
    <col min="2063" max="2063" width="6.42578125" bestFit="1" customWidth="1"/>
    <col min="2064" max="2064" width="5.85546875" bestFit="1" customWidth="1"/>
    <col min="2065" max="2065" width="6.28515625" bestFit="1" customWidth="1"/>
    <col min="2066" max="2066" width="6.140625" bestFit="1" customWidth="1"/>
    <col min="2305" max="2305" width="34.5703125" customWidth="1"/>
    <col min="2306" max="2306" width="6.5703125" bestFit="1" customWidth="1"/>
    <col min="2307" max="2307" width="7.5703125" bestFit="1" customWidth="1"/>
    <col min="2308" max="2308" width="10" bestFit="1" customWidth="1"/>
    <col min="2309" max="2309" width="11" customWidth="1"/>
    <col min="2310" max="2310" width="7" bestFit="1" customWidth="1"/>
    <col min="2311" max="2311" width="6.42578125" bestFit="1" customWidth="1"/>
    <col min="2312" max="2312" width="5.28515625" customWidth="1"/>
    <col min="2313" max="2313" width="5.5703125" bestFit="1" customWidth="1"/>
    <col min="2314" max="2316" width="5.28515625" bestFit="1" customWidth="1"/>
    <col min="2317" max="2317" width="5.42578125" bestFit="1" customWidth="1"/>
    <col min="2318" max="2318" width="7.140625" bestFit="1" customWidth="1"/>
    <col min="2319" max="2319" width="6.42578125" bestFit="1" customWidth="1"/>
    <col min="2320" max="2320" width="5.85546875" bestFit="1" customWidth="1"/>
    <col min="2321" max="2321" width="6.28515625" bestFit="1" customWidth="1"/>
    <col min="2322" max="2322" width="6.140625" bestFit="1" customWidth="1"/>
    <col min="2561" max="2561" width="34.5703125" customWidth="1"/>
    <col min="2562" max="2562" width="6.5703125" bestFit="1" customWidth="1"/>
    <col min="2563" max="2563" width="7.5703125" bestFit="1" customWidth="1"/>
    <col min="2564" max="2564" width="10" bestFit="1" customWidth="1"/>
    <col min="2565" max="2565" width="11" customWidth="1"/>
    <col min="2566" max="2566" width="7" bestFit="1" customWidth="1"/>
    <col min="2567" max="2567" width="6.42578125" bestFit="1" customWidth="1"/>
    <col min="2568" max="2568" width="5.28515625" customWidth="1"/>
    <col min="2569" max="2569" width="5.5703125" bestFit="1" customWidth="1"/>
    <col min="2570" max="2572" width="5.28515625" bestFit="1" customWidth="1"/>
    <col min="2573" max="2573" width="5.42578125" bestFit="1" customWidth="1"/>
    <col min="2574" max="2574" width="7.140625" bestFit="1" customWidth="1"/>
    <col min="2575" max="2575" width="6.42578125" bestFit="1" customWidth="1"/>
    <col min="2576" max="2576" width="5.85546875" bestFit="1" customWidth="1"/>
    <col min="2577" max="2577" width="6.28515625" bestFit="1" customWidth="1"/>
    <col min="2578" max="2578" width="6.140625" bestFit="1" customWidth="1"/>
    <col min="2817" max="2817" width="34.5703125" customWidth="1"/>
    <col min="2818" max="2818" width="6.5703125" bestFit="1" customWidth="1"/>
    <col min="2819" max="2819" width="7.5703125" bestFit="1" customWidth="1"/>
    <col min="2820" max="2820" width="10" bestFit="1" customWidth="1"/>
    <col min="2821" max="2821" width="11" customWidth="1"/>
    <col min="2822" max="2822" width="7" bestFit="1" customWidth="1"/>
    <col min="2823" max="2823" width="6.42578125" bestFit="1" customWidth="1"/>
    <col min="2824" max="2824" width="5.28515625" customWidth="1"/>
    <col min="2825" max="2825" width="5.5703125" bestFit="1" customWidth="1"/>
    <col min="2826" max="2828" width="5.28515625" bestFit="1" customWidth="1"/>
    <col min="2829" max="2829" width="5.42578125" bestFit="1" customWidth="1"/>
    <col min="2830" max="2830" width="7.140625" bestFit="1" customWidth="1"/>
    <col min="2831" max="2831" width="6.42578125" bestFit="1" customWidth="1"/>
    <col min="2832" max="2832" width="5.85546875" bestFit="1" customWidth="1"/>
    <col min="2833" max="2833" width="6.28515625" bestFit="1" customWidth="1"/>
    <col min="2834" max="2834" width="6.140625" bestFit="1" customWidth="1"/>
    <col min="3073" max="3073" width="34.5703125" customWidth="1"/>
    <col min="3074" max="3074" width="6.5703125" bestFit="1" customWidth="1"/>
    <col min="3075" max="3075" width="7.5703125" bestFit="1" customWidth="1"/>
    <col min="3076" max="3076" width="10" bestFit="1" customWidth="1"/>
    <col min="3077" max="3077" width="11" customWidth="1"/>
    <col min="3078" max="3078" width="7" bestFit="1" customWidth="1"/>
    <col min="3079" max="3079" width="6.42578125" bestFit="1" customWidth="1"/>
    <col min="3080" max="3080" width="5.28515625" customWidth="1"/>
    <col min="3081" max="3081" width="5.5703125" bestFit="1" customWidth="1"/>
    <col min="3082" max="3084" width="5.28515625" bestFit="1" customWidth="1"/>
    <col min="3085" max="3085" width="5.42578125" bestFit="1" customWidth="1"/>
    <col min="3086" max="3086" width="7.140625" bestFit="1" customWidth="1"/>
    <col min="3087" max="3087" width="6.42578125" bestFit="1" customWidth="1"/>
    <col min="3088" max="3088" width="5.85546875" bestFit="1" customWidth="1"/>
    <col min="3089" max="3089" width="6.28515625" bestFit="1" customWidth="1"/>
    <col min="3090" max="3090" width="6.140625" bestFit="1" customWidth="1"/>
    <col min="3329" max="3329" width="34.5703125" customWidth="1"/>
    <col min="3330" max="3330" width="6.5703125" bestFit="1" customWidth="1"/>
    <col min="3331" max="3331" width="7.5703125" bestFit="1" customWidth="1"/>
    <col min="3332" max="3332" width="10" bestFit="1" customWidth="1"/>
    <col min="3333" max="3333" width="11" customWidth="1"/>
    <col min="3334" max="3334" width="7" bestFit="1" customWidth="1"/>
    <col min="3335" max="3335" width="6.42578125" bestFit="1" customWidth="1"/>
    <col min="3336" max="3336" width="5.28515625" customWidth="1"/>
    <col min="3337" max="3337" width="5.5703125" bestFit="1" customWidth="1"/>
    <col min="3338" max="3340" width="5.28515625" bestFit="1" customWidth="1"/>
    <col min="3341" max="3341" width="5.42578125" bestFit="1" customWidth="1"/>
    <col min="3342" max="3342" width="7.140625" bestFit="1" customWidth="1"/>
    <col min="3343" max="3343" width="6.42578125" bestFit="1" customWidth="1"/>
    <col min="3344" max="3344" width="5.85546875" bestFit="1" customWidth="1"/>
    <col min="3345" max="3345" width="6.28515625" bestFit="1" customWidth="1"/>
    <col min="3346" max="3346" width="6.140625" bestFit="1" customWidth="1"/>
    <col min="3585" max="3585" width="34.5703125" customWidth="1"/>
    <col min="3586" max="3586" width="6.5703125" bestFit="1" customWidth="1"/>
    <col min="3587" max="3587" width="7.5703125" bestFit="1" customWidth="1"/>
    <col min="3588" max="3588" width="10" bestFit="1" customWidth="1"/>
    <col min="3589" max="3589" width="11" customWidth="1"/>
    <col min="3590" max="3590" width="7" bestFit="1" customWidth="1"/>
    <col min="3591" max="3591" width="6.42578125" bestFit="1" customWidth="1"/>
    <col min="3592" max="3592" width="5.28515625" customWidth="1"/>
    <col min="3593" max="3593" width="5.5703125" bestFit="1" customWidth="1"/>
    <col min="3594" max="3596" width="5.28515625" bestFit="1" customWidth="1"/>
    <col min="3597" max="3597" width="5.42578125" bestFit="1" customWidth="1"/>
    <col min="3598" max="3598" width="7.140625" bestFit="1" customWidth="1"/>
    <col min="3599" max="3599" width="6.42578125" bestFit="1" customWidth="1"/>
    <col min="3600" max="3600" width="5.85546875" bestFit="1" customWidth="1"/>
    <col min="3601" max="3601" width="6.28515625" bestFit="1" customWidth="1"/>
    <col min="3602" max="3602" width="6.140625" bestFit="1" customWidth="1"/>
    <col min="3841" max="3841" width="34.5703125" customWidth="1"/>
    <col min="3842" max="3842" width="6.5703125" bestFit="1" customWidth="1"/>
    <col min="3843" max="3843" width="7.5703125" bestFit="1" customWidth="1"/>
    <col min="3844" max="3844" width="10" bestFit="1" customWidth="1"/>
    <col min="3845" max="3845" width="11" customWidth="1"/>
    <col min="3846" max="3846" width="7" bestFit="1" customWidth="1"/>
    <col min="3847" max="3847" width="6.42578125" bestFit="1" customWidth="1"/>
    <col min="3848" max="3848" width="5.28515625" customWidth="1"/>
    <col min="3849" max="3849" width="5.5703125" bestFit="1" customWidth="1"/>
    <col min="3850" max="3852" width="5.28515625" bestFit="1" customWidth="1"/>
    <col min="3853" max="3853" width="5.42578125" bestFit="1" customWidth="1"/>
    <col min="3854" max="3854" width="7.140625" bestFit="1" customWidth="1"/>
    <col min="3855" max="3855" width="6.42578125" bestFit="1" customWidth="1"/>
    <col min="3856" max="3856" width="5.85546875" bestFit="1" customWidth="1"/>
    <col min="3857" max="3857" width="6.28515625" bestFit="1" customWidth="1"/>
    <col min="3858" max="3858" width="6.140625" bestFit="1" customWidth="1"/>
    <col min="4097" max="4097" width="34.5703125" customWidth="1"/>
    <col min="4098" max="4098" width="6.5703125" bestFit="1" customWidth="1"/>
    <col min="4099" max="4099" width="7.5703125" bestFit="1" customWidth="1"/>
    <col min="4100" max="4100" width="10" bestFit="1" customWidth="1"/>
    <col min="4101" max="4101" width="11" customWidth="1"/>
    <col min="4102" max="4102" width="7" bestFit="1" customWidth="1"/>
    <col min="4103" max="4103" width="6.42578125" bestFit="1" customWidth="1"/>
    <col min="4104" max="4104" width="5.28515625" customWidth="1"/>
    <col min="4105" max="4105" width="5.5703125" bestFit="1" customWidth="1"/>
    <col min="4106" max="4108" width="5.28515625" bestFit="1" customWidth="1"/>
    <col min="4109" max="4109" width="5.42578125" bestFit="1" customWidth="1"/>
    <col min="4110" max="4110" width="7.140625" bestFit="1" customWidth="1"/>
    <col min="4111" max="4111" width="6.42578125" bestFit="1" customWidth="1"/>
    <col min="4112" max="4112" width="5.85546875" bestFit="1" customWidth="1"/>
    <col min="4113" max="4113" width="6.28515625" bestFit="1" customWidth="1"/>
    <col min="4114" max="4114" width="6.140625" bestFit="1" customWidth="1"/>
    <col min="4353" max="4353" width="34.5703125" customWidth="1"/>
    <col min="4354" max="4354" width="6.5703125" bestFit="1" customWidth="1"/>
    <col min="4355" max="4355" width="7.5703125" bestFit="1" customWidth="1"/>
    <col min="4356" max="4356" width="10" bestFit="1" customWidth="1"/>
    <col min="4357" max="4357" width="11" customWidth="1"/>
    <col min="4358" max="4358" width="7" bestFit="1" customWidth="1"/>
    <col min="4359" max="4359" width="6.42578125" bestFit="1" customWidth="1"/>
    <col min="4360" max="4360" width="5.28515625" customWidth="1"/>
    <col min="4361" max="4361" width="5.5703125" bestFit="1" customWidth="1"/>
    <col min="4362" max="4364" width="5.28515625" bestFit="1" customWidth="1"/>
    <col min="4365" max="4365" width="5.42578125" bestFit="1" customWidth="1"/>
    <col min="4366" max="4366" width="7.140625" bestFit="1" customWidth="1"/>
    <col min="4367" max="4367" width="6.42578125" bestFit="1" customWidth="1"/>
    <col min="4368" max="4368" width="5.85546875" bestFit="1" customWidth="1"/>
    <col min="4369" max="4369" width="6.28515625" bestFit="1" customWidth="1"/>
    <col min="4370" max="4370" width="6.140625" bestFit="1" customWidth="1"/>
    <col min="4609" max="4609" width="34.5703125" customWidth="1"/>
    <col min="4610" max="4610" width="6.5703125" bestFit="1" customWidth="1"/>
    <col min="4611" max="4611" width="7.5703125" bestFit="1" customWidth="1"/>
    <col min="4612" max="4612" width="10" bestFit="1" customWidth="1"/>
    <col min="4613" max="4613" width="11" customWidth="1"/>
    <col min="4614" max="4614" width="7" bestFit="1" customWidth="1"/>
    <col min="4615" max="4615" width="6.42578125" bestFit="1" customWidth="1"/>
    <col min="4616" max="4616" width="5.28515625" customWidth="1"/>
    <col min="4617" max="4617" width="5.5703125" bestFit="1" customWidth="1"/>
    <col min="4618" max="4620" width="5.28515625" bestFit="1" customWidth="1"/>
    <col min="4621" max="4621" width="5.42578125" bestFit="1" customWidth="1"/>
    <col min="4622" max="4622" width="7.140625" bestFit="1" customWidth="1"/>
    <col min="4623" max="4623" width="6.42578125" bestFit="1" customWidth="1"/>
    <col min="4624" max="4624" width="5.85546875" bestFit="1" customWidth="1"/>
    <col min="4625" max="4625" width="6.28515625" bestFit="1" customWidth="1"/>
    <col min="4626" max="4626" width="6.140625" bestFit="1" customWidth="1"/>
    <col min="4865" max="4865" width="34.5703125" customWidth="1"/>
    <col min="4866" max="4866" width="6.5703125" bestFit="1" customWidth="1"/>
    <col min="4867" max="4867" width="7.5703125" bestFit="1" customWidth="1"/>
    <col min="4868" max="4868" width="10" bestFit="1" customWidth="1"/>
    <col min="4869" max="4869" width="11" customWidth="1"/>
    <col min="4870" max="4870" width="7" bestFit="1" customWidth="1"/>
    <col min="4871" max="4871" width="6.42578125" bestFit="1" customWidth="1"/>
    <col min="4872" max="4872" width="5.28515625" customWidth="1"/>
    <col min="4873" max="4873" width="5.5703125" bestFit="1" customWidth="1"/>
    <col min="4874" max="4876" width="5.28515625" bestFit="1" customWidth="1"/>
    <col min="4877" max="4877" width="5.42578125" bestFit="1" customWidth="1"/>
    <col min="4878" max="4878" width="7.140625" bestFit="1" customWidth="1"/>
    <col min="4879" max="4879" width="6.42578125" bestFit="1" customWidth="1"/>
    <col min="4880" max="4880" width="5.85546875" bestFit="1" customWidth="1"/>
    <col min="4881" max="4881" width="6.28515625" bestFit="1" customWidth="1"/>
    <col min="4882" max="4882" width="6.140625" bestFit="1" customWidth="1"/>
    <col min="5121" max="5121" width="34.5703125" customWidth="1"/>
    <col min="5122" max="5122" width="6.5703125" bestFit="1" customWidth="1"/>
    <col min="5123" max="5123" width="7.5703125" bestFit="1" customWidth="1"/>
    <col min="5124" max="5124" width="10" bestFit="1" customWidth="1"/>
    <col min="5125" max="5125" width="11" customWidth="1"/>
    <col min="5126" max="5126" width="7" bestFit="1" customWidth="1"/>
    <col min="5127" max="5127" width="6.42578125" bestFit="1" customWidth="1"/>
    <col min="5128" max="5128" width="5.28515625" customWidth="1"/>
    <col min="5129" max="5129" width="5.5703125" bestFit="1" customWidth="1"/>
    <col min="5130" max="5132" width="5.28515625" bestFit="1" customWidth="1"/>
    <col min="5133" max="5133" width="5.42578125" bestFit="1" customWidth="1"/>
    <col min="5134" max="5134" width="7.140625" bestFit="1" customWidth="1"/>
    <col min="5135" max="5135" width="6.42578125" bestFit="1" customWidth="1"/>
    <col min="5136" max="5136" width="5.85546875" bestFit="1" customWidth="1"/>
    <col min="5137" max="5137" width="6.28515625" bestFit="1" customWidth="1"/>
    <col min="5138" max="5138" width="6.140625" bestFit="1" customWidth="1"/>
    <col min="5377" max="5377" width="34.5703125" customWidth="1"/>
    <col min="5378" max="5378" width="6.5703125" bestFit="1" customWidth="1"/>
    <col min="5379" max="5379" width="7.5703125" bestFit="1" customWidth="1"/>
    <col min="5380" max="5380" width="10" bestFit="1" customWidth="1"/>
    <col min="5381" max="5381" width="11" customWidth="1"/>
    <col min="5382" max="5382" width="7" bestFit="1" customWidth="1"/>
    <col min="5383" max="5383" width="6.42578125" bestFit="1" customWidth="1"/>
    <col min="5384" max="5384" width="5.28515625" customWidth="1"/>
    <col min="5385" max="5385" width="5.5703125" bestFit="1" customWidth="1"/>
    <col min="5386" max="5388" width="5.28515625" bestFit="1" customWidth="1"/>
    <col min="5389" max="5389" width="5.42578125" bestFit="1" customWidth="1"/>
    <col min="5390" max="5390" width="7.140625" bestFit="1" customWidth="1"/>
    <col min="5391" max="5391" width="6.42578125" bestFit="1" customWidth="1"/>
    <col min="5392" max="5392" width="5.85546875" bestFit="1" customWidth="1"/>
    <col min="5393" max="5393" width="6.28515625" bestFit="1" customWidth="1"/>
    <col min="5394" max="5394" width="6.140625" bestFit="1" customWidth="1"/>
    <col min="5633" max="5633" width="34.5703125" customWidth="1"/>
    <col min="5634" max="5634" width="6.5703125" bestFit="1" customWidth="1"/>
    <col min="5635" max="5635" width="7.5703125" bestFit="1" customWidth="1"/>
    <col min="5636" max="5636" width="10" bestFit="1" customWidth="1"/>
    <col min="5637" max="5637" width="11" customWidth="1"/>
    <col min="5638" max="5638" width="7" bestFit="1" customWidth="1"/>
    <col min="5639" max="5639" width="6.42578125" bestFit="1" customWidth="1"/>
    <col min="5640" max="5640" width="5.28515625" customWidth="1"/>
    <col min="5641" max="5641" width="5.5703125" bestFit="1" customWidth="1"/>
    <col min="5642" max="5644" width="5.28515625" bestFit="1" customWidth="1"/>
    <col min="5645" max="5645" width="5.42578125" bestFit="1" customWidth="1"/>
    <col min="5646" max="5646" width="7.140625" bestFit="1" customWidth="1"/>
    <col min="5647" max="5647" width="6.42578125" bestFit="1" customWidth="1"/>
    <col min="5648" max="5648" width="5.85546875" bestFit="1" customWidth="1"/>
    <col min="5649" max="5649" width="6.28515625" bestFit="1" customWidth="1"/>
    <col min="5650" max="5650" width="6.140625" bestFit="1" customWidth="1"/>
    <col min="5889" max="5889" width="34.5703125" customWidth="1"/>
    <col min="5890" max="5890" width="6.5703125" bestFit="1" customWidth="1"/>
    <col min="5891" max="5891" width="7.5703125" bestFit="1" customWidth="1"/>
    <col min="5892" max="5892" width="10" bestFit="1" customWidth="1"/>
    <col min="5893" max="5893" width="11" customWidth="1"/>
    <col min="5894" max="5894" width="7" bestFit="1" customWidth="1"/>
    <col min="5895" max="5895" width="6.42578125" bestFit="1" customWidth="1"/>
    <col min="5896" max="5896" width="5.28515625" customWidth="1"/>
    <col min="5897" max="5897" width="5.5703125" bestFit="1" customWidth="1"/>
    <col min="5898" max="5900" width="5.28515625" bestFit="1" customWidth="1"/>
    <col min="5901" max="5901" width="5.42578125" bestFit="1" customWidth="1"/>
    <col min="5902" max="5902" width="7.140625" bestFit="1" customWidth="1"/>
    <col min="5903" max="5903" width="6.42578125" bestFit="1" customWidth="1"/>
    <col min="5904" max="5904" width="5.85546875" bestFit="1" customWidth="1"/>
    <col min="5905" max="5905" width="6.28515625" bestFit="1" customWidth="1"/>
    <col min="5906" max="5906" width="6.140625" bestFit="1" customWidth="1"/>
    <col min="6145" max="6145" width="34.5703125" customWidth="1"/>
    <col min="6146" max="6146" width="6.5703125" bestFit="1" customWidth="1"/>
    <col min="6147" max="6147" width="7.5703125" bestFit="1" customWidth="1"/>
    <col min="6148" max="6148" width="10" bestFit="1" customWidth="1"/>
    <col min="6149" max="6149" width="11" customWidth="1"/>
    <col min="6150" max="6150" width="7" bestFit="1" customWidth="1"/>
    <col min="6151" max="6151" width="6.42578125" bestFit="1" customWidth="1"/>
    <col min="6152" max="6152" width="5.28515625" customWidth="1"/>
    <col min="6153" max="6153" width="5.5703125" bestFit="1" customWidth="1"/>
    <col min="6154" max="6156" width="5.28515625" bestFit="1" customWidth="1"/>
    <col min="6157" max="6157" width="5.42578125" bestFit="1" customWidth="1"/>
    <col min="6158" max="6158" width="7.140625" bestFit="1" customWidth="1"/>
    <col min="6159" max="6159" width="6.42578125" bestFit="1" customWidth="1"/>
    <col min="6160" max="6160" width="5.85546875" bestFit="1" customWidth="1"/>
    <col min="6161" max="6161" width="6.28515625" bestFit="1" customWidth="1"/>
    <col min="6162" max="6162" width="6.140625" bestFit="1" customWidth="1"/>
    <col min="6401" max="6401" width="34.5703125" customWidth="1"/>
    <col min="6402" max="6402" width="6.5703125" bestFit="1" customWidth="1"/>
    <col min="6403" max="6403" width="7.5703125" bestFit="1" customWidth="1"/>
    <col min="6404" max="6404" width="10" bestFit="1" customWidth="1"/>
    <col min="6405" max="6405" width="11" customWidth="1"/>
    <col min="6406" max="6406" width="7" bestFit="1" customWidth="1"/>
    <col min="6407" max="6407" width="6.42578125" bestFit="1" customWidth="1"/>
    <col min="6408" max="6408" width="5.28515625" customWidth="1"/>
    <col min="6409" max="6409" width="5.5703125" bestFit="1" customWidth="1"/>
    <col min="6410" max="6412" width="5.28515625" bestFit="1" customWidth="1"/>
    <col min="6413" max="6413" width="5.42578125" bestFit="1" customWidth="1"/>
    <col min="6414" max="6414" width="7.140625" bestFit="1" customWidth="1"/>
    <col min="6415" max="6415" width="6.42578125" bestFit="1" customWidth="1"/>
    <col min="6416" max="6416" width="5.85546875" bestFit="1" customWidth="1"/>
    <col min="6417" max="6417" width="6.28515625" bestFit="1" customWidth="1"/>
    <col min="6418" max="6418" width="6.140625" bestFit="1" customWidth="1"/>
    <col min="6657" max="6657" width="34.5703125" customWidth="1"/>
    <col min="6658" max="6658" width="6.5703125" bestFit="1" customWidth="1"/>
    <col min="6659" max="6659" width="7.5703125" bestFit="1" customWidth="1"/>
    <col min="6660" max="6660" width="10" bestFit="1" customWidth="1"/>
    <col min="6661" max="6661" width="11" customWidth="1"/>
    <col min="6662" max="6662" width="7" bestFit="1" customWidth="1"/>
    <col min="6663" max="6663" width="6.42578125" bestFit="1" customWidth="1"/>
    <col min="6664" max="6664" width="5.28515625" customWidth="1"/>
    <col min="6665" max="6665" width="5.5703125" bestFit="1" customWidth="1"/>
    <col min="6666" max="6668" width="5.28515625" bestFit="1" customWidth="1"/>
    <col min="6669" max="6669" width="5.42578125" bestFit="1" customWidth="1"/>
    <col min="6670" max="6670" width="7.140625" bestFit="1" customWidth="1"/>
    <col min="6671" max="6671" width="6.42578125" bestFit="1" customWidth="1"/>
    <col min="6672" max="6672" width="5.85546875" bestFit="1" customWidth="1"/>
    <col min="6673" max="6673" width="6.28515625" bestFit="1" customWidth="1"/>
    <col min="6674" max="6674" width="6.140625" bestFit="1" customWidth="1"/>
    <col min="6913" max="6913" width="34.5703125" customWidth="1"/>
    <col min="6914" max="6914" width="6.5703125" bestFit="1" customWidth="1"/>
    <col min="6915" max="6915" width="7.5703125" bestFit="1" customWidth="1"/>
    <col min="6916" max="6916" width="10" bestFit="1" customWidth="1"/>
    <col min="6917" max="6917" width="11" customWidth="1"/>
    <col min="6918" max="6918" width="7" bestFit="1" customWidth="1"/>
    <col min="6919" max="6919" width="6.42578125" bestFit="1" customWidth="1"/>
    <col min="6920" max="6920" width="5.28515625" customWidth="1"/>
    <col min="6921" max="6921" width="5.5703125" bestFit="1" customWidth="1"/>
    <col min="6922" max="6924" width="5.28515625" bestFit="1" customWidth="1"/>
    <col min="6925" max="6925" width="5.42578125" bestFit="1" customWidth="1"/>
    <col min="6926" max="6926" width="7.140625" bestFit="1" customWidth="1"/>
    <col min="6927" max="6927" width="6.42578125" bestFit="1" customWidth="1"/>
    <col min="6928" max="6928" width="5.85546875" bestFit="1" customWidth="1"/>
    <col min="6929" max="6929" width="6.28515625" bestFit="1" customWidth="1"/>
    <col min="6930" max="6930" width="6.140625" bestFit="1" customWidth="1"/>
    <col min="7169" max="7169" width="34.5703125" customWidth="1"/>
    <col min="7170" max="7170" width="6.5703125" bestFit="1" customWidth="1"/>
    <col min="7171" max="7171" width="7.5703125" bestFit="1" customWidth="1"/>
    <col min="7172" max="7172" width="10" bestFit="1" customWidth="1"/>
    <col min="7173" max="7173" width="11" customWidth="1"/>
    <col min="7174" max="7174" width="7" bestFit="1" customWidth="1"/>
    <col min="7175" max="7175" width="6.42578125" bestFit="1" customWidth="1"/>
    <col min="7176" max="7176" width="5.28515625" customWidth="1"/>
    <col min="7177" max="7177" width="5.5703125" bestFit="1" customWidth="1"/>
    <col min="7178" max="7180" width="5.28515625" bestFit="1" customWidth="1"/>
    <col min="7181" max="7181" width="5.42578125" bestFit="1" customWidth="1"/>
    <col min="7182" max="7182" width="7.140625" bestFit="1" customWidth="1"/>
    <col min="7183" max="7183" width="6.42578125" bestFit="1" customWidth="1"/>
    <col min="7184" max="7184" width="5.85546875" bestFit="1" customWidth="1"/>
    <col min="7185" max="7185" width="6.28515625" bestFit="1" customWidth="1"/>
    <col min="7186" max="7186" width="6.140625" bestFit="1" customWidth="1"/>
    <col min="7425" max="7425" width="34.5703125" customWidth="1"/>
    <col min="7426" max="7426" width="6.5703125" bestFit="1" customWidth="1"/>
    <col min="7427" max="7427" width="7.5703125" bestFit="1" customWidth="1"/>
    <col min="7428" max="7428" width="10" bestFit="1" customWidth="1"/>
    <col min="7429" max="7429" width="11" customWidth="1"/>
    <col min="7430" max="7430" width="7" bestFit="1" customWidth="1"/>
    <col min="7431" max="7431" width="6.42578125" bestFit="1" customWidth="1"/>
    <col min="7432" max="7432" width="5.28515625" customWidth="1"/>
    <col min="7433" max="7433" width="5.5703125" bestFit="1" customWidth="1"/>
    <col min="7434" max="7436" width="5.28515625" bestFit="1" customWidth="1"/>
    <col min="7437" max="7437" width="5.42578125" bestFit="1" customWidth="1"/>
    <col min="7438" max="7438" width="7.140625" bestFit="1" customWidth="1"/>
    <col min="7439" max="7439" width="6.42578125" bestFit="1" customWidth="1"/>
    <col min="7440" max="7440" width="5.85546875" bestFit="1" customWidth="1"/>
    <col min="7441" max="7441" width="6.28515625" bestFit="1" customWidth="1"/>
    <col min="7442" max="7442" width="6.140625" bestFit="1" customWidth="1"/>
    <col min="7681" max="7681" width="34.5703125" customWidth="1"/>
    <col min="7682" max="7682" width="6.5703125" bestFit="1" customWidth="1"/>
    <col min="7683" max="7683" width="7.5703125" bestFit="1" customWidth="1"/>
    <col min="7684" max="7684" width="10" bestFit="1" customWidth="1"/>
    <col min="7685" max="7685" width="11" customWidth="1"/>
    <col min="7686" max="7686" width="7" bestFit="1" customWidth="1"/>
    <col min="7687" max="7687" width="6.42578125" bestFit="1" customWidth="1"/>
    <col min="7688" max="7688" width="5.28515625" customWidth="1"/>
    <col min="7689" max="7689" width="5.5703125" bestFit="1" customWidth="1"/>
    <col min="7690" max="7692" width="5.28515625" bestFit="1" customWidth="1"/>
    <col min="7693" max="7693" width="5.42578125" bestFit="1" customWidth="1"/>
    <col min="7694" max="7694" width="7.140625" bestFit="1" customWidth="1"/>
    <col min="7695" max="7695" width="6.42578125" bestFit="1" customWidth="1"/>
    <col min="7696" max="7696" width="5.85546875" bestFit="1" customWidth="1"/>
    <col min="7697" max="7697" width="6.28515625" bestFit="1" customWidth="1"/>
    <col min="7698" max="7698" width="6.140625" bestFit="1" customWidth="1"/>
    <col min="7937" max="7937" width="34.5703125" customWidth="1"/>
    <col min="7938" max="7938" width="6.5703125" bestFit="1" customWidth="1"/>
    <col min="7939" max="7939" width="7.5703125" bestFit="1" customWidth="1"/>
    <col min="7940" max="7940" width="10" bestFit="1" customWidth="1"/>
    <col min="7941" max="7941" width="11" customWidth="1"/>
    <col min="7942" max="7942" width="7" bestFit="1" customWidth="1"/>
    <col min="7943" max="7943" width="6.42578125" bestFit="1" customWidth="1"/>
    <col min="7944" max="7944" width="5.28515625" customWidth="1"/>
    <col min="7945" max="7945" width="5.5703125" bestFit="1" customWidth="1"/>
    <col min="7946" max="7948" width="5.28515625" bestFit="1" customWidth="1"/>
    <col min="7949" max="7949" width="5.42578125" bestFit="1" customWidth="1"/>
    <col min="7950" max="7950" width="7.140625" bestFit="1" customWidth="1"/>
    <col min="7951" max="7951" width="6.42578125" bestFit="1" customWidth="1"/>
    <col min="7952" max="7952" width="5.85546875" bestFit="1" customWidth="1"/>
    <col min="7953" max="7953" width="6.28515625" bestFit="1" customWidth="1"/>
    <col min="7954" max="7954" width="6.140625" bestFit="1" customWidth="1"/>
    <col min="8193" max="8193" width="34.5703125" customWidth="1"/>
    <col min="8194" max="8194" width="6.5703125" bestFit="1" customWidth="1"/>
    <col min="8195" max="8195" width="7.5703125" bestFit="1" customWidth="1"/>
    <col min="8196" max="8196" width="10" bestFit="1" customWidth="1"/>
    <col min="8197" max="8197" width="11" customWidth="1"/>
    <col min="8198" max="8198" width="7" bestFit="1" customWidth="1"/>
    <col min="8199" max="8199" width="6.42578125" bestFit="1" customWidth="1"/>
    <col min="8200" max="8200" width="5.28515625" customWidth="1"/>
    <col min="8201" max="8201" width="5.5703125" bestFit="1" customWidth="1"/>
    <col min="8202" max="8204" width="5.28515625" bestFit="1" customWidth="1"/>
    <col min="8205" max="8205" width="5.42578125" bestFit="1" customWidth="1"/>
    <col min="8206" max="8206" width="7.140625" bestFit="1" customWidth="1"/>
    <col min="8207" max="8207" width="6.42578125" bestFit="1" customWidth="1"/>
    <col min="8208" max="8208" width="5.85546875" bestFit="1" customWidth="1"/>
    <col min="8209" max="8209" width="6.28515625" bestFit="1" customWidth="1"/>
    <col min="8210" max="8210" width="6.140625" bestFit="1" customWidth="1"/>
    <col min="8449" max="8449" width="34.5703125" customWidth="1"/>
    <col min="8450" max="8450" width="6.5703125" bestFit="1" customWidth="1"/>
    <col min="8451" max="8451" width="7.5703125" bestFit="1" customWidth="1"/>
    <col min="8452" max="8452" width="10" bestFit="1" customWidth="1"/>
    <col min="8453" max="8453" width="11" customWidth="1"/>
    <col min="8454" max="8454" width="7" bestFit="1" customWidth="1"/>
    <col min="8455" max="8455" width="6.42578125" bestFit="1" customWidth="1"/>
    <col min="8456" max="8456" width="5.28515625" customWidth="1"/>
    <col min="8457" max="8457" width="5.5703125" bestFit="1" customWidth="1"/>
    <col min="8458" max="8460" width="5.28515625" bestFit="1" customWidth="1"/>
    <col min="8461" max="8461" width="5.42578125" bestFit="1" customWidth="1"/>
    <col min="8462" max="8462" width="7.140625" bestFit="1" customWidth="1"/>
    <col min="8463" max="8463" width="6.42578125" bestFit="1" customWidth="1"/>
    <col min="8464" max="8464" width="5.85546875" bestFit="1" customWidth="1"/>
    <col min="8465" max="8465" width="6.28515625" bestFit="1" customWidth="1"/>
    <col min="8466" max="8466" width="6.140625" bestFit="1" customWidth="1"/>
    <col min="8705" max="8705" width="34.5703125" customWidth="1"/>
    <col min="8706" max="8706" width="6.5703125" bestFit="1" customWidth="1"/>
    <col min="8707" max="8707" width="7.5703125" bestFit="1" customWidth="1"/>
    <col min="8708" max="8708" width="10" bestFit="1" customWidth="1"/>
    <col min="8709" max="8709" width="11" customWidth="1"/>
    <col min="8710" max="8710" width="7" bestFit="1" customWidth="1"/>
    <col min="8711" max="8711" width="6.42578125" bestFit="1" customWidth="1"/>
    <col min="8712" max="8712" width="5.28515625" customWidth="1"/>
    <col min="8713" max="8713" width="5.5703125" bestFit="1" customWidth="1"/>
    <col min="8714" max="8716" width="5.28515625" bestFit="1" customWidth="1"/>
    <col min="8717" max="8717" width="5.42578125" bestFit="1" customWidth="1"/>
    <col min="8718" max="8718" width="7.140625" bestFit="1" customWidth="1"/>
    <col min="8719" max="8719" width="6.42578125" bestFit="1" customWidth="1"/>
    <col min="8720" max="8720" width="5.85546875" bestFit="1" customWidth="1"/>
    <col min="8721" max="8721" width="6.28515625" bestFit="1" customWidth="1"/>
    <col min="8722" max="8722" width="6.140625" bestFit="1" customWidth="1"/>
    <col min="8961" max="8961" width="34.5703125" customWidth="1"/>
    <col min="8962" max="8962" width="6.5703125" bestFit="1" customWidth="1"/>
    <col min="8963" max="8963" width="7.5703125" bestFit="1" customWidth="1"/>
    <col min="8964" max="8964" width="10" bestFit="1" customWidth="1"/>
    <col min="8965" max="8965" width="11" customWidth="1"/>
    <col min="8966" max="8966" width="7" bestFit="1" customWidth="1"/>
    <col min="8967" max="8967" width="6.42578125" bestFit="1" customWidth="1"/>
    <col min="8968" max="8968" width="5.28515625" customWidth="1"/>
    <col min="8969" max="8969" width="5.5703125" bestFit="1" customWidth="1"/>
    <col min="8970" max="8972" width="5.28515625" bestFit="1" customWidth="1"/>
    <col min="8973" max="8973" width="5.42578125" bestFit="1" customWidth="1"/>
    <col min="8974" max="8974" width="7.140625" bestFit="1" customWidth="1"/>
    <col min="8975" max="8975" width="6.42578125" bestFit="1" customWidth="1"/>
    <col min="8976" max="8976" width="5.85546875" bestFit="1" customWidth="1"/>
    <col min="8977" max="8977" width="6.28515625" bestFit="1" customWidth="1"/>
    <col min="8978" max="8978" width="6.140625" bestFit="1" customWidth="1"/>
    <col min="9217" max="9217" width="34.5703125" customWidth="1"/>
    <col min="9218" max="9218" width="6.5703125" bestFit="1" customWidth="1"/>
    <col min="9219" max="9219" width="7.5703125" bestFit="1" customWidth="1"/>
    <col min="9220" max="9220" width="10" bestFit="1" customWidth="1"/>
    <col min="9221" max="9221" width="11" customWidth="1"/>
    <col min="9222" max="9222" width="7" bestFit="1" customWidth="1"/>
    <col min="9223" max="9223" width="6.42578125" bestFit="1" customWidth="1"/>
    <col min="9224" max="9224" width="5.28515625" customWidth="1"/>
    <col min="9225" max="9225" width="5.5703125" bestFit="1" customWidth="1"/>
    <col min="9226" max="9228" width="5.28515625" bestFit="1" customWidth="1"/>
    <col min="9229" max="9229" width="5.42578125" bestFit="1" customWidth="1"/>
    <col min="9230" max="9230" width="7.140625" bestFit="1" customWidth="1"/>
    <col min="9231" max="9231" width="6.42578125" bestFit="1" customWidth="1"/>
    <col min="9232" max="9232" width="5.85546875" bestFit="1" customWidth="1"/>
    <col min="9233" max="9233" width="6.28515625" bestFit="1" customWidth="1"/>
    <col min="9234" max="9234" width="6.140625" bestFit="1" customWidth="1"/>
    <col min="9473" max="9473" width="34.5703125" customWidth="1"/>
    <col min="9474" max="9474" width="6.5703125" bestFit="1" customWidth="1"/>
    <col min="9475" max="9475" width="7.5703125" bestFit="1" customWidth="1"/>
    <col min="9476" max="9476" width="10" bestFit="1" customWidth="1"/>
    <col min="9477" max="9477" width="11" customWidth="1"/>
    <col min="9478" max="9478" width="7" bestFit="1" customWidth="1"/>
    <col min="9479" max="9479" width="6.42578125" bestFit="1" customWidth="1"/>
    <col min="9480" max="9480" width="5.28515625" customWidth="1"/>
    <col min="9481" max="9481" width="5.5703125" bestFit="1" customWidth="1"/>
    <col min="9482" max="9484" width="5.28515625" bestFit="1" customWidth="1"/>
    <col min="9485" max="9485" width="5.42578125" bestFit="1" customWidth="1"/>
    <col min="9486" max="9486" width="7.140625" bestFit="1" customWidth="1"/>
    <col min="9487" max="9487" width="6.42578125" bestFit="1" customWidth="1"/>
    <col min="9488" max="9488" width="5.85546875" bestFit="1" customWidth="1"/>
    <col min="9489" max="9489" width="6.28515625" bestFit="1" customWidth="1"/>
    <col min="9490" max="9490" width="6.140625" bestFit="1" customWidth="1"/>
    <col min="9729" max="9729" width="34.5703125" customWidth="1"/>
    <col min="9730" max="9730" width="6.5703125" bestFit="1" customWidth="1"/>
    <col min="9731" max="9731" width="7.5703125" bestFit="1" customWidth="1"/>
    <col min="9732" max="9732" width="10" bestFit="1" customWidth="1"/>
    <col min="9733" max="9733" width="11" customWidth="1"/>
    <col min="9734" max="9734" width="7" bestFit="1" customWidth="1"/>
    <col min="9735" max="9735" width="6.42578125" bestFit="1" customWidth="1"/>
    <col min="9736" max="9736" width="5.28515625" customWidth="1"/>
    <col min="9737" max="9737" width="5.5703125" bestFit="1" customWidth="1"/>
    <col min="9738" max="9740" width="5.28515625" bestFit="1" customWidth="1"/>
    <col min="9741" max="9741" width="5.42578125" bestFit="1" customWidth="1"/>
    <col min="9742" max="9742" width="7.140625" bestFit="1" customWidth="1"/>
    <col min="9743" max="9743" width="6.42578125" bestFit="1" customWidth="1"/>
    <col min="9744" max="9744" width="5.85546875" bestFit="1" customWidth="1"/>
    <col min="9745" max="9745" width="6.28515625" bestFit="1" customWidth="1"/>
    <col min="9746" max="9746" width="6.140625" bestFit="1" customWidth="1"/>
    <col min="9985" max="9985" width="34.5703125" customWidth="1"/>
    <col min="9986" max="9986" width="6.5703125" bestFit="1" customWidth="1"/>
    <col min="9987" max="9987" width="7.5703125" bestFit="1" customWidth="1"/>
    <col min="9988" max="9988" width="10" bestFit="1" customWidth="1"/>
    <col min="9989" max="9989" width="11" customWidth="1"/>
    <col min="9990" max="9990" width="7" bestFit="1" customWidth="1"/>
    <col min="9991" max="9991" width="6.42578125" bestFit="1" customWidth="1"/>
    <col min="9992" max="9992" width="5.28515625" customWidth="1"/>
    <col min="9993" max="9993" width="5.5703125" bestFit="1" customWidth="1"/>
    <col min="9994" max="9996" width="5.28515625" bestFit="1" customWidth="1"/>
    <col min="9997" max="9997" width="5.42578125" bestFit="1" customWidth="1"/>
    <col min="9998" max="9998" width="7.140625" bestFit="1" customWidth="1"/>
    <col min="9999" max="9999" width="6.42578125" bestFit="1" customWidth="1"/>
    <col min="10000" max="10000" width="5.85546875" bestFit="1" customWidth="1"/>
    <col min="10001" max="10001" width="6.28515625" bestFit="1" customWidth="1"/>
    <col min="10002" max="10002" width="6.140625" bestFit="1" customWidth="1"/>
    <col min="10241" max="10241" width="34.5703125" customWidth="1"/>
    <col min="10242" max="10242" width="6.5703125" bestFit="1" customWidth="1"/>
    <col min="10243" max="10243" width="7.5703125" bestFit="1" customWidth="1"/>
    <col min="10244" max="10244" width="10" bestFit="1" customWidth="1"/>
    <col min="10245" max="10245" width="11" customWidth="1"/>
    <col min="10246" max="10246" width="7" bestFit="1" customWidth="1"/>
    <col min="10247" max="10247" width="6.42578125" bestFit="1" customWidth="1"/>
    <col min="10248" max="10248" width="5.28515625" customWidth="1"/>
    <col min="10249" max="10249" width="5.5703125" bestFit="1" customWidth="1"/>
    <col min="10250" max="10252" width="5.28515625" bestFit="1" customWidth="1"/>
    <col min="10253" max="10253" width="5.42578125" bestFit="1" customWidth="1"/>
    <col min="10254" max="10254" width="7.140625" bestFit="1" customWidth="1"/>
    <col min="10255" max="10255" width="6.42578125" bestFit="1" customWidth="1"/>
    <col min="10256" max="10256" width="5.85546875" bestFit="1" customWidth="1"/>
    <col min="10257" max="10257" width="6.28515625" bestFit="1" customWidth="1"/>
    <col min="10258" max="10258" width="6.140625" bestFit="1" customWidth="1"/>
    <col min="10497" max="10497" width="34.5703125" customWidth="1"/>
    <col min="10498" max="10498" width="6.5703125" bestFit="1" customWidth="1"/>
    <col min="10499" max="10499" width="7.5703125" bestFit="1" customWidth="1"/>
    <col min="10500" max="10500" width="10" bestFit="1" customWidth="1"/>
    <col min="10501" max="10501" width="11" customWidth="1"/>
    <col min="10502" max="10502" width="7" bestFit="1" customWidth="1"/>
    <col min="10503" max="10503" width="6.42578125" bestFit="1" customWidth="1"/>
    <col min="10504" max="10504" width="5.28515625" customWidth="1"/>
    <col min="10505" max="10505" width="5.5703125" bestFit="1" customWidth="1"/>
    <col min="10506" max="10508" width="5.28515625" bestFit="1" customWidth="1"/>
    <col min="10509" max="10509" width="5.42578125" bestFit="1" customWidth="1"/>
    <col min="10510" max="10510" width="7.140625" bestFit="1" customWidth="1"/>
    <col min="10511" max="10511" width="6.42578125" bestFit="1" customWidth="1"/>
    <col min="10512" max="10512" width="5.85546875" bestFit="1" customWidth="1"/>
    <col min="10513" max="10513" width="6.28515625" bestFit="1" customWidth="1"/>
    <col min="10514" max="10514" width="6.140625" bestFit="1" customWidth="1"/>
    <col min="10753" max="10753" width="34.5703125" customWidth="1"/>
    <col min="10754" max="10754" width="6.5703125" bestFit="1" customWidth="1"/>
    <col min="10755" max="10755" width="7.5703125" bestFit="1" customWidth="1"/>
    <col min="10756" max="10756" width="10" bestFit="1" customWidth="1"/>
    <col min="10757" max="10757" width="11" customWidth="1"/>
    <col min="10758" max="10758" width="7" bestFit="1" customWidth="1"/>
    <col min="10759" max="10759" width="6.42578125" bestFit="1" customWidth="1"/>
    <col min="10760" max="10760" width="5.28515625" customWidth="1"/>
    <col min="10761" max="10761" width="5.5703125" bestFit="1" customWidth="1"/>
    <col min="10762" max="10764" width="5.28515625" bestFit="1" customWidth="1"/>
    <col min="10765" max="10765" width="5.42578125" bestFit="1" customWidth="1"/>
    <col min="10766" max="10766" width="7.140625" bestFit="1" customWidth="1"/>
    <col min="10767" max="10767" width="6.42578125" bestFit="1" customWidth="1"/>
    <col min="10768" max="10768" width="5.85546875" bestFit="1" customWidth="1"/>
    <col min="10769" max="10769" width="6.28515625" bestFit="1" customWidth="1"/>
    <col min="10770" max="10770" width="6.140625" bestFit="1" customWidth="1"/>
    <col min="11009" max="11009" width="34.5703125" customWidth="1"/>
    <col min="11010" max="11010" width="6.5703125" bestFit="1" customWidth="1"/>
    <col min="11011" max="11011" width="7.5703125" bestFit="1" customWidth="1"/>
    <col min="11012" max="11012" width="10" bestFit="1" customWidth="1"/>
    <col min="11013" max="11013" width="11" customWidth="1"/>
    <col min="11014" max="11014" width="7" bestFit="1" customWidth="1"/>
    <col min="11015" max="11015" width="6.42578125" bestFit="1" customWidth="1"/>
    <col min="11016" max="11016" width="5.28515625" customWidth="1"/>
    <col min="11017" max="11017" width="5.5703125" bestFit="1" customWidth="1"/>
    <col min="11018" max="11020" width="5.28515625" bestFit="1" customWidth="1"/>
    <col min="11021" max="11021" width="5.42578125" bestFit="1" customWidth="1"/>
    <col min="11022" max="11022" width="7.140625" bestFit="1" customWidth="1"/>
    <col min="11023" max="11023" width="6.42578125" bestFit="1" customWidth="1"/>
    <col min="11024" max="11024" width="5.85546875" bestFit="1" customWidth="1"/>
    <col min="11025" max="11025" width="6.28515625" bestFit="1" customWidth="1"/>
    <col min="11026" max="11026" width="6.140625" bestFit="1" customWidth="1"/>
    <col min="11265" max="11265" width="34.5703125" customWidth="1"/>
    <col min="11266" max="11266" width="6.5703125" bestFit="1" customWidth="1"/>
    <col min="11267" max="11267" width="7.5703125" bestFit="1" customWidth="1"/>
    <col min="11268" max="11268" width="10" bestFit="1" customWidth="1"/>
    <col min="11269" max="11269" width="11" customWidth="1"/>
    <col min="11270" max="11270" width="7" bestFit="1" customWidth="1"/>
    <col min="11271" max="11271" width="6.42578125" bestFit="1" customWidth="1"/>
    <col min="11272" max="11272" width="5.28515625" customWidth="1"/>
    <col min="11273" max="11273" width="5.5703125" bestFit="1" customWidth="1"/>
    <col min="11274" max="11276" width="5.28515625" bestFit="1" customWidth="1"/>
    <col min="11277" max="11277" width="5.42578125" bestFit="1" customWidth="1"/>
    <col min="11278" max="11278" width="7.140625" bestFit="1" customWidth="1"/>
    <col min="11279" max="11279" width="6.42578125" bestFit="1" customWidth="1"/>
    <col min="11280" max="11280" width="5.85546875" bestFit="1" customWidth="1"/>
    <col min="11281" max="11281" width="6.28515625" bestFit="1" customWidth="1"/>
    <col min="11282" max="11282" width="6.140625" bestFit="1" customWidth="1"/>
    <col min="11521" max="11521" width="34.5703125" customWidth="1"/>
    <col min="11522" max="11522" width="6.5703125" bestFit="1" customWidth="1"/>
    <col min="11523" max="11523" width="7.5703125" bestFit="1" customWidth="1"/>
    <col min="11524" max="11524" width="10" bestFit="1" customWidth="1"/>
    <col min="11525" max="11525" width="11" customWidth="1"/>
    <col min="11526" max="11526" width="7" bestFit="1" customWidth="1"/>
    <col min="11527" max="11527" width="6.42578125" bestFit="1" customWidth="1"/>
    <col min="11528" max="11528" width="5.28515625" customWidth="1"/>
    <col min="11529" max="11529" width="5.5703125" bestFit="1" customWidth="1"/>
    <col min="11530" max="11532" width="5.28515625" bestFit="1" customWidth="1"/>
    <col min="11533" max="11533" width="5.42578125" bestFit="1" customWidth="1"/>
    <col min="11534" max="11534" width="7.140625" bestFit="1" customWidth="1"/>
    <col min="11535" max="11535" width="6.42578125" bestFit="1" customWidth="1"/>
    <col min="11536" max="11536" width="5.85546875" bestFit="1" customWidth="1"/>
    <col min="11537" max="11537" width="6.28515625" bestFit="1" customWidth="1"/>
    <col min="11538" max="11538" width="6.140625" bestFit="1" customWidth="1"/>
    <col min="11777" max="11777" width="34.5703125" customWidth="1"/>
    <col min="11778" max="11778" width="6.5703125" bestFit="1" customWidth="1"/>
    <col min="11779" max="11779" width="7.5703125" bestFit="1" customWidth="1"/>
    <col min="11780" max="11780" width="10" bestFit="1" customWidth="1"/>
    <col min="11781" max="11781" width="11" customWidth="1"/>
    <col min="11782" max="11782" width="7" bestFit="1" customWidth="1"/>
    <col min="11783" max="11783" width="6.42578125" bestFit="1" customWidth="1"/>
    <col min="11784" max="11784" width="5.28515625" customWidth="1"/>
    <col min="11785" max="11785" width="5.5703125" bestFit="1" customWidth="1"/>
    <col min="11786" max="11788" width="5.28515625" bestFit="1" customWidth="1"/>
    <col min="11789" max="11789" width="5.42578125" bestFit="1" customWidth="1"/>
    <col min="11790" max="11790" width="7.140625" bestFit="1" customWidth="1"/>
    <col min="11791" max="11791" width="6.42578125" bestFit="1" customWidth="1"/>
    <col min="11792" max="11792" width="5.85546875" bestFit="1" customWidth="1"/>
    <col min="11793" max="11793" width="6.28515625" bestFit="1" customWidth="1"/>
    <col min="11794" max="11794" width="6.140625" bestFit="1" customWidth="1"/>
    <col min="12033" max="12033" width="34.5703125" customWidth="1"/>
    <col min="12034" max="12034" width="6.5703125" bestFit="1" customWidth="1"/>
    <col min="12035" max="12035" width="7.5703125" bestFit="1" customWidth="1"/>
    <col min="12036" max="12036" width="10" bestFit="1" customWidth="1"/>
    <col min="12037" max="12037" width="11" customWidth="1"/>
    <col min="12038" max="12038" width="7" bestFit="1" customWidth="1"/>
    <col min="12039" max="12039" width="6.42578125" bestFit="1" customWidth="1"/>
    <col min="12040" max="12040" width="5.28515625" customWidth="1"/>
    <col min="12041" max="12041" width="5.5703125" bestFit="1" customWidth="1"/>
    <col min="12042" max="12044" width="5.28515625" bestFit="1" customWidth="1"/>
    <col min="12045" max="12045" width="5.42578125" bestFit="1" customWidth="1"/>
    <col min="12046" max="12046" width="7.140625" bestFit="1" customWidth="1"/>
    <col min="12047" max="12047" width="6.42578125" bestFit="1" customWidth="1"/>
    <col min="12048" max="12048" width="5.85546875" bestFit="1" customWidth="1"/>
    <col min="12049" max="12049" width="6.28515625" bestFit="1" customWidth="1"/>
    <col min="12050" max="12050" width="6.140625" bestFit="1" customWidth="1"/>
    <col min="12289" max="12289" width="34.5703125" customWidth="1"/>
    <col min="12290" max="12290" width="6.5703125" bestFit="1" customWidth="1"/>
    <col min="12291" max="12291" width="7.5703125" bestFit="1" customWidth="1"/>
    <col min="12292" max="12292" width="10" bestFit="1" customWidth="1"/>
    <col min="12293" max="12293" width="11" customWidth="1"/>
    <col min="12294" max="12294" width="7" bestFit="1" customWidth="1"/>
    <col min="12295" max="12295" width="6.42578125" bestFit="1" customWidth="1"/>
    <col min="12296" max="12296" width="5.28515625" customWidth="1"/>
    <col min="12297" max="12297" width="5.5703125" bestFit="1" customWidth="1"/>
    <col min="12298" max="12300" width="5.28515625" bestFit="1" customWidth="1"/>
    <col min="12301" max="12301" width="5.42578125" bestFit="1" customWidth="1"/>
    <col min="12302" max="12302" width="7.140625" bestFit="1" customWidth="1"/>
    <col min="12303" max="12303" width="6.42578125" bestFit="1" customWidth="1"/>
    <col min="12304" max="12304" width="5.85546875" bestFit="1" customWidth="1"/>
    <col min="12305" max="12305" width="6.28515625" bestFit="1" customWidth="1"/>
    <col min="12306" max="12306" width="6.140625" bestFit="1" customWidth="1"/>
    <col min="12545" max="12545" width="34.5703125" customWidth="1"/>
    <col min="12546" max="12546" width="6.5703125" bestFit="1" customWidth="1"/>
    <col min="12547" max="12547" width="7.5703125" bestFit="1" customWidth="1"/>
    <col min="12548" max="12548" width="10" bestFit="1" customWidth="1"/>
    <col min="12549" max="12549" width="11" customWidth="1"/>
    <col min="12550" max="12550" width="7" bestFit="1" customWidth="1"/>
    <col min="12551" max="12551" width="6.42578125" bestFit="1" customWidth="1"/>
    <col min="12552" max="12552" width="5.28515625" customWidth="1"/>
    <col min="12553" max="12553" width="5.5703125" bestFit="1" customWidth="1"/>
    <col min="12554" max="12556" width="5.28515625" bestFit="1" customWidth="1"/>
    <col min="12557" max="12557" width="5.42578125" bestFit="1" customWidth="1"/>
    <col min="12558" max="12558" width="7.140625" bestFit="1" customWidth="1"/>
    <col min="12559" max="12559" width="6.42578125" bestFit="1" customWidth="1"/>
    <col min="12560" max="12560" width="5.85546875" bestFit="1" customWidth="1"/>
    <col min="12561" max="12561" width="6.28515625" bestFit="1" customWidth="1"/>
    <col min="12562" max="12562" width="6.140625" bestFit="1" customWidth="1"/>
    <col min="12801" max="12801" width="34.5703125" customWidth="1"/>
    <col min="12802" max="12802" width="6.5703125" bestFit="1" customWidth="1"/>
    <col min="12803" max="12803" width="7.5703125" bestFit="1" customWidth="1"/>
    <col min="12804" max="12804" width="10" bestFit="1" customWidth="1"/>
    <col min="12805" max="12805" width="11" customWidth="1"/>
    <col min="12806" max="12806" width="7" bestFit="1" customWidth="1"/>
    <col min="12807" max="12807" width="6.42578125" bestFit="1" customWidth="1"/>
    <col min="12808" max="12808" width="5.28515625" customWidth="1"/>
    <col min="12809" max="12809" width="5.5703125" bestFit="1" customWidth="1"/>
    <col min="12810" max="12812" width="5.28515625" bestFit="1" customWidth="1"/>
    <col min="12813" max="12813" width="5.42578125" bestFit="1" customWidth="1"/>
    <col min="12814" max="12814" width="7.140625" bestFit="1" customWidth="1"/>
    <col min="12815" max="12815" width="6.42578125" bestFit="1" customWidth="1"/>
    <col min="12816" max="12816" width="5.85546875" bestFit="1" customWidth="1"/>
    <col min="12817" max="12817" width="6.28515625" bestFit="1" customWidth="1"/>
    <col min="12818" max="12818" width="6.140625" bestFit="1" customWidth="1"/>
    <col min="13057" max="13057" width="34.5703125" customWidth="1"/>
    <col min="13058" max="13058" width="6.5703125" bestFit="1" customWidth="1"/>
    <col min="13059" max="13059" width="7.5703125" bestFit="1" customWidth="1"/>
    <col min="13060" max="13060" width="10" bestFit="1" customWidth="1"/>
    <col min="13061" max="13061" width="11" customWidth="1"/>
    <col min="13062" max="13062" width="7" bestFit="1" customWidth="1"/>
    <col min="13063" max="13063" width="6.42578125" bestFit="1" customWidth="1"/>
    <col min="13064" max="13064" width="5.28515625" customWidth="1"/>
    <col min="13065" max="13065" width="5.5703125" bestFit="1" customWidth="1"/>
    <col min="13066" max="13068" width="5.28515625" bestFit="1" customWidth="1"/>
    <col min="13069" max="13069" width="5.42578125" bestFit="1" customWidth="1"/>
    <col min="13070" max="13070" width="7.140625" bestFit="1" customWidth="1"/>
    <col min="13071" max="13071" width="6.42578125" bestFit="1" customWidth="1"/>
    <col min="13072" max="13072" width="5.85546875" bestFit="1" customWidth="1"/>
    <col min="13073" max="13073" width="6.28515625" bestFit="1" customWidth="1"/>
    <col min="13074" max="13074" width="6.140625" bestFit="1" customWidth="1"/>
    <col min="13313" max="13313" width="34.5703125" customWidth="1"/>
    <col min="13314" max="13314" width="6.5703125" bestFit="1" customWidth="1"/>
    <col min="13315" max="13315" width="7.5703125" bestFit="1" customWidth="1"/>
    <col min="13316" max="13316" width="10" bestFit="1" customWidth="1"/>
    <col min="13317" max="13317" width="11" customWidth="1"/>
    <col min="13318" max="13318" width="7" bestFit="1" customWidth="1"/>
    <col min="13319" max="13319" width="6.42578125" bestFit="1" customWidth="1"/>
    <col min="13320" max="13320" width="5.28515625" customWidth="1"/>
    <col min="13321" max="13321" width="5.5703125" bestFit="1" customWidth="1"/>
    <col min="13322" max="13324" width="5.28515625" bestFit="1" customWidth="1"/>
    <col min="13325" max="13325" width="5.42578125" bestFit="1" customWidth="1"/>
    <col min="13326" max="13326" width="7.140625" bestFit="1" customWidth="1"/>
    <col min="13327" max="13327" width="6.42578125" bestFit="1" customWidth="1"/>
    <col min="13328" max="13328" width="5.85546875" bestFit="1" customWidth="1"/>
    <col min="13329" max="13329" width="6.28515625" bestFit="1" customWidth="1"/>
    <col min="13330" max="13330" width="6.140625" bestFit="1" customWidth="1"/>
    <col min="13569" max="13569" width="34.5703125" customWidth="1"/>
    <col min="13570" max="13570" width="6.5703125" bestFit="1" customWidth="1"/>
    <col min="13571" max="13571" width="7.5703125" bestFit="1" customWidth="1"/>
    <col min="13572" max="13572" width="10" bestFit="1" customWidth="1"/>
    <col min="13573" max="13573" width="11" customWidth="1"/>
    <col min="13574" max="13574" width="7" bestFit="1" customWidth="1"/>
    <col min="13575" max="13575" width="6.42578125" bestFit="1" customWidth="1"/>
    <col min="13576" max="13576" width="5.28515625" customWidth="1"/>
    <col min="13577" max="13577" width="5.5703125" bestFit="1" customWidth="1"/>
    <col min="13578" max="13580" width="5.28515625" bestFit="1" customWidth="1"/>
    <col min="13581" max="13581" width="5.42578125" bestFit="1" customWidth="1"/>
    <col min="13582" max="13582" width="7.140625" bestFit="1" customWidth="1"/>
    <col min="13583" max="13583" width="6.42578125" bestFit="1" customWidth="1"/>
    <col min="13584" max="13584" width="5.85546875" bestFit="1" customWidth="1"/>
    <col min="13585" max="13585" width="6.28515625" bestFit="1" customWidth="1"/>
    <col min="13586" max="13586" width="6.140625" bestFit="1" customWidth="1"/>
    <col min="13825" max="13825" width="34.5703125" customWidth="1"/>
    <col min="13826" max="13826" width="6.5703125" bestFit="1" customWidth="1"/>
    <col min="13827" max="13827" width="7.5703125" bestFit="1" customWidth="1"/>
    <col min="13828" max="13828" width="10" bestFit="1" customWidth="1"/>
    <col min="13829" max="13829" width="11" customWidth="1"/>
    <col min="13830" max="13830" width="7" bestFit="1" customWidth="1"/>
    <col min="13831" max="13831" width="6.42578125" bestFit="1" customWidth="1"/>
    <col min="13832" max="13832" width="5.28515625" customWidth="1"/>
    <col min="13833" max="13833" width="5.5703125" bestFit="1" customWidth="1"/>
    <col min="13834" max="13836" width="5.28515625" bestFit="1" customWidth="1"/>
    <col min="13837" max="13837" width="5.42578125" bestFit="1" customWidth="1"/>
    <col min="13838" max="13838" width="7.140625" bestFit="1" customWidth="1"/>
    <col min="13839" max="13839" width="6.42578125" bestFit="1" customWidth="1"/>
    <col min="13840" max="13840" width="5.85546875" bestFit="1" customWidth="1"/>
    <col min="13841" max="13841" width="6.28515625" bestFit="1" customWidth="1"/>
    <col min="13842" max="13842" width="6.140625" bestFit="1" customWidth="1"/>
    <col min="14081" max="14081" width="34.5703125" customWidth="1"/>
    <col min="14082" max="14082" width="6.5703125" bestFit="1" customWidth="1"/>
    <col min="14083" max="14083" width="7.5703125" bestFit="1" customWidth="1"/>
    <col min="14084" max="14084" width="10" bestFit="1" customWidth="1"/>
    <col min="14085" max="14085" width="11" customWidth="1"/>
    <col min="14086" max="14086" width="7" bestFit="1" customWidth="1"/>
    <col min="14087" max="14087" width="6.42578125" bestFit="1" customWidth="1"/>
    <col min="14088" max="14088" width="5.28515625" customWidth="1"/>
    <col min="14089" max="14089" width="5.5703125" bestFit="1" customWidth="1"/>
    <col min="14090" max="14092" width="5.28515625" bestFit="1" customWidth="1"/>
    <col min="14093" max="14093" width="5.42578125" bestFit="1" customWidth="1"/>
    <col min="14094" max="14094" width="7.140625" bestFit="1" customWidth="1"/>
    <col min="14095" max="14095" width="6.42578125" bestFit="1" customWidth="1"/>
    <col min="14096" max="14096" width="5.85546875" bestFit="1" customWidth="1"/>
    <col min="14097" max="14097" width="6.28515625" bestFit="1" customWidth="1"/>
    <col min="14098" max="14098" width="6.140625" bestFit="1" customWidth="1"/>
    <col min="14337" max="14337" width="34.5703125" customWidth="1"/>
    <col min="14338" max="14338" width="6.5703125" bestFit="1" customWidth="1"/>
    <col min="14339" max="14339" width="7.5703125" bestFit="1" customWidth="1"/>
    <col min="14340" max="14340" width="10" bestFit="1" customWidth="1"/>
    <col min="14341" max="14341" width="11" customWidth="1"/>
    <col min="14342" max="14342" width="7" bestFit="1" customWidth="1"/>
    <col min="14343" max="14343" width="6.42578125" bestFit="1" customWidth="1"/>
    <col min="14344" max="14344" width="5.28515625" customWidth="1"/>
    <col min="14345" max="14345" width="5.5703125" bestFit="1" customWidth="1"/>
    <col min="14346" max="14348" width="5.28515625" bestFit="1" customWidth="1"/>
    <col min="14349" max="14349" width="5.42578125" bestFit="1" customWidth="1"/>
    <col min="14350" max="14350" width="7.140625" bestFit="1" customWidth="1"/>
    <col min="14351" max="14351" width="6.42578125" bestFit="1" customWidth="1"/>
    <col min="14352" max="14352" width="5.85546875" bestFit="1" customWidth="1"/>
    <col min="14353" max="14353" width="6.28515625" bestFit="1" customWidth="1"/>
    <col min="14354" max="14354" width="6.140625" bestFit="1" customWidth="1"/>
    <col min="14593" max="14593" width="34.5703125" customWidth="1"/>
    <col min="14594" max="14594" width="6.5703125" bestFit="1" customWidth="1"/>
    <col min="14595" max="14595" width="7.5703125" bestFit="1" customWidth="1"/>
    <col min="14596" max="14596" width="10" bestFit="1" customWidth="1"/>
    <col min="14597" max="14597" width="11" customWidth="1"/>
    <col min="14598" max="14598" width="7" bestFit="1" customWidth="1"/>
    <col min="14599" max="14599" width="6.42578125" bestFit="1" customWidth="1"/>
    <col min="14600" max="14600" width="5.28515625" customWidth="1"/>
    <col min="14601" max="14601" width="5.5703125" bestFit="1" customWidth="1"/>
    <col min="14602" max="14604" width="5.28515625" bestFit="1" customWidth="1"/>
    <col min="14605" max="14605" width="5.42578125" bestFit="1" customWidth="1"/>
    <col min="14606" max="14606" width="7.140625" bestFit="1" customWidth="1"/>
    <col min="14607" max="14607" width="6.42578125" bestFit="1" customWidth="1"/>
    <col min="14608" max="14608" width="5.85546875" bestFit="1" customWidth="1"/>
    <col min="14609" max="14609" width="6.28515625" bestFit="1" customWidth="1"/>
    <col min="14610" max="14610" width="6.140625" bestFit="1" customWidth="1"/>
    <col min="14849" max="14849" width="34.5703125" customWidth="1"/>
    <col min="14850" max="14850" width="6.5703125" bestFit="1" customWidth="1"/>
    <col min="14851" max="14851" width="7.5703125" bestFit="1" customWidth="1"/>
    <col min="14852" max="14852" width="10" bestFit="1" customWidth="1"/>
    <col min="14853" max="14853" width="11" customWidth="1"/>
    <col min="14854" max="14854" width="7" bestFit="1" customWidth="1"/>
    <col min="14855" max="14855" width="6.42578125" bestFit="1" customWidth="1"/>
    <col min="14856" max="14856" width="5.28515625" customWidth="1"/>
    <col min="14857" max="14857" width="5.5703125" bestFit="1" customWidth="1"/>
    <col min="14858" max="14860" width="5.28515625" bestFit="1" customWidth="1"/>
    <col min="14861" max="14861" width="5.42578125" bestFit="1" customWidth="1"/>
    <col min="14862" max="14862" width="7.140625" bestFit="1" customWidth="1"/>
    <col min="14863" max="14863" width="6.42578125" bestFit="1" customWidth="1"/>
    <col min="14864" max="14864" width="5.85546875" bestFit="1" customWidth="1"/>
    <col min="14865" max="14865" width="6.28515625" bestFit="1" customWidth="1"/>
    <col min="14866" max="14866" width="6.140625" bestFit="1" customWidth="1"/>
    <col min="15105" max="15105" width="34.5703125" customWidth="1"/>
    <col min="15106" max="15106" width="6.5703125" bestFit="1" customWidth="1"/>
    <col min="15107" max="15107" width="7.5703125" bestFit="1" customWidth="1"/>
    <col min="15108" max="15108" width="10" bestFit="1" customWidth="1"/>
    <col min="15109" max="15109" width="11" customWidth="1"/>
    <col min="15110" max="15110" width="7" bestFit="1" customWidth="1"/>
    <col min="15111" max="15111" width="6.42578125" bestFit="1" customWidth="1"/>
    <col min="15112" max="15112" width="5.28515625" customWidth="1"/>
    <col min="15113" max="15113" width="5.5703125" bestFit="1" customWidth="1"/>
    <col min="15114" max="15116" width="5.28515625" bestFit="1" customWidth="1"/>
    <col min="15117" max="15117" width="5.42578125" bestFit="1" customWidth="1"/>
    <col min="15118" max="15118" width="7.140625" bestFit="1" customWidth="1"/>
    <col min="15119" max="15119" width="6.42578125" bestFit="1" customWidth="1"/>
    <col min="15120" max="15120" width="5.85546875" bestFit="1" customWidth="1"/>
    <col min="15121" max="15121" width="6.28515625" bestFit="1" customWidth="1"/>
    <col min="15122" max="15122" width="6.140625" bestFit="1" customWidth="1"/>
    <col min="15361" max="15361" width="34.5703125" customWidth="1"/>
    <col min="15362" max="15362" width="6.5703125" bestFit="1" customWidth="1"/>
    <col min="15363" max="15363" width="7.5703125" bestFit="1" customWidth="1"/>
    <col min="15364" max="15364" width="10" bestFit="1" customWidth="1"/>
    <col min="15365" max="15365" width="11" customWidth="1"/>
    <col min="15366" max="15366" width="7" bestFit="1" customWidth="1"/>
    <col min="15367" max="15367" width="6.42578125" bestFit="1" customWidth="1"/>
    <col min="15368" max="15368" width="5.28515625" customWidth="1"/>
    <col min="15369" max="15369" width="5.5703125" bestFit="1" customWidth="1"/>
    <col min="15370" max="15372" width="5.28515625" bestFit="1" customWidth="1"/>
    <col min="15373" max="15373" width="5.42578125" bestFit="1" customWidth="1"/>
    <col min="15374" max="15374" width="7.140625" bestFit="1" customWidth="1"/>
    <col min="15375" max="15375" width="6.42578125" bestFit="1" customWidth="1"/>
    <col min="15376" max="15376" width="5.85546875" bestFit="1" customWidth="1"/>
    <col min="15377" max="15377" width="6.28515625" bestFit="1" customWidth="1"/>
    <col min="15378" max="15378" width="6.140625" bestFit="1" customWidth="1"/>
    <col min="15617" max="15617" width="34.5703125" customWidth="1"/>
    <col min="15618" max="15618" width="6.5703125" bestFit="1" customWidth="1"/>
    <col min="15619" max="15619" width="7.5703125" bestFit="1" customWidth="1"/>
    <col min="15620" max="15620" width="10" bestFit="1" customWidth="1"/>
    <col min="15621" max="15621" width="11" customWidth="1"/>
    <col min="15622" max="15622" width="7" bestFit="1" customWidth="1"/>
    <col min="15623" max="15623" width="6.42578125" bestFit="1" customWidth="1"/>
    <col min="15624" max="15624" width="5.28515625" customWidth="1"/>
    <col min="15625" max="15625" width="5.5703125" bestFit="1" customWidth="1"/>
    <col min="15626" max="15628" width="5.28515625" bestFit="1" customWidth="1"/>
    <col min="15629" max="15629" width="5.42578125" bestFit="1" customWidth="1"/>
    <col min="15630" max="15630" width="7.140625" bestFit="1" customWidth="1"/>
    <col min="15631" max="15631" width="6.42578125" bestFit="1" customWidth="1"/>
    <col min="15632" max="15632" width="5.85546875" bestFit="1" customWidth="1"/>
    <col min="15633" max="15633" width="6.28515625" bestFit="1" customWidth="1"/>
    <col min="15634" max="15634" width="6.140625" bestFit="1" customWidth="1"/>
    <col min="15873" max="15873" width="34.5703125" customWidth="1"/>
    <col min="15874" max="15874" width="6.5703125" bestFit="1" customWidth="1"/>
    <col min="15875" max="15875" width="7.5703125" bestFit="1" customWidth="1"/>
    <col min="15876" max="15876" width="10" bestFit="1" customWidth="1"/>
    <col min="15877" max="15877" width="11" customWidth="1"/>
    <col min="15878" max="15878" width="7" bestFit="1" customWidth="1"/>
    <col min="15879" max="15879" width="6.42578125" bestFit="1" customWidth="1"/>
    <col min="15880" max="15880" width="5.28515625" customWidth="1"/>
    <col min="15881" max="15881" width="5.5703125" bestFit="1" customWidth="1"/>
    <col min="15882" max="15884" width="5.28515625" bestFit="1" customWidth="1"/>
    <col min="15885" max="15885" width="5.42578125" bestFit="1" customWidth="1"/>
    <col min="15886" max="15886" width="7.140625" bestFit="1" customWidth="1"/>
    <col min="15887" max="15887" width="6.42578125" bestFit="1" customWidth="1"/>
    <col min="15888" max="15888" width="5.85546875" bestFit="1" customWidth="1"/>
    <col min="15889" max="15889" width="6.28515625" bestFit="1" customWidth="1"/>
    <col min="15890" max="15890" width="6.140625" bestFit="1" customWidth="1"/>
    <col min="16129" max="16129" width="34.5703125" customWidth="1"/>
    <col min="16130" max="16130" width="6.5703125" bestFit="1" customWidth="1"/>
    <col min="16131" max="16131" width="7.5703125" bestFit="1" customWidth="1"/>
    <col min="16132" max="16132" width="10" bestFit="1" customWidth="1"/>
    <col min="16133" max="16133" width="11" customWidth="1"/>
    <col min="16134" max="16134" width="7" bestFit="1" customWidth="1"/>
    <col min="16135" max="16135" width="6.42578125" bestFit="1" customWidth="1"/>
    <col min="16136" max="16136" width="5.28515625" customWidth="1"/>
    <col min="16137" max="16137" width="5.5703125" bestFit="1" customWidth="1"/>
    <col min="16138" max="16140" width="5.28515625" bestFit="1" customWidth="1"/>
    <col min="16141" max="16141" width="5.42578125" bestFit="1" customWidth="1"/>
    <col min="16142" max="16142" width="7.140625" bestFit="1" customWidth="1"/>
    <col min="16143" max="16143" width="6.42578125" bestFit="1" customWidth="1"/>
    <col min="16144" max="16144" width="5.85546875" bestFit="1" customWidth="1"/>
    <col min="16145" max="16145" width="6.28515625" bestFit="1" customWidth="1"/>
    <col min="16146" max="16146" width="6.140625" bestFit="1" customWidth="1"/>
  </cols>
  <sheetData>
    <row r="1" spans="1:18" s="146" customFormat="1" ht="12" thickBot="1">
      <c r="A1" s="144"/>
      <c r="B1" s="145"/>
      <c r="C1" s="145"/>
      <c r="D1" s="145"/>
      <c r="E1" s="145"/>
      <c r="F1" s="145"/>
      <c r="G1" s="145"/>
      <c r="H1" s="145"/>
      <c r="I1" s="145"/>
      <c r="J1" s="145"/>
      <c r="K1" s="145"/>
      <c r="L1" s="145"/>
      <c r="M1" s="145"/>
      <c r="N1" s="145"/>
      <c r="O1" s="145"/>
      <c r="P1" s="145"/>
      <c r="Q1" s="145"/>
      <c r="R1" s="145"/>
    </row>
    <row r="2" spans="1:18" s="151" customFormat="1" ht="11.25" customHeight="1">
      <c r="A2" s="147" t="s">
        <v>224</v>
      </c>
      <c r="B2" s="2307" t="s">
        <v>225</v>
      </c>
      <c r="C2" s="2307"/>
      <c r="D2" s="2307"/>
      <c r="E2" s="2308"/>
      <c r="F2" s="148" t="s">
        <v>226</v>
      </c>
      <c r="G2" s="149" t="s">
        <v>227</v>
      </c>
      <c r="H2" s="149" t="s">
        <v>228</v>
      </c>
      <c r="I2" s="149" t="s">
        <v>229</v>
      </c>
      <c r="J2" s="149" t="s">
        <v>230</v>
      </c>
      <c r="K2" s="149" t="s">
        <v>231</v>
      </c>
      <c r="L2" s="149" t="s">
        <v>232</v>
      </c>
      <c r="M2" s="149" t="s">
        <v>233</v>
      </c>
      <c r="N2" s="149" t="s">
        <v>234</v>
      </c>
      <c r="O2" s="149" t="s">
        <v>235</v>
      </c>
      <c r="P2" s="149" t="s">
        <v>236</v>
      </c>
      <c r="Q2" s="149" t="s">
        <v>237</v>
      </c>
      <c r="R2" s="150" t="s">
        <v>238</v>
      </c>
    </row>
    <row r="3" spans="1:18" s="159" customFormat="1" ht="45.75" thickBot="1">
      <c r="A3" s="152" t="s">
        <v>239</v>
      </c>
      <c r="B3" s="153" t="s">
        <v>240</v>
      </c>
      <c r="C3" s="153" t="s">
        <v>241</v>
      </c>
      <c r="D3" s="154" t="s">
        <v>242</v>
      </c>
      <c r="E3" s="155" t="s">
        <v>243</v>
      </c>
      <c r="F3" s="156">
        <v>31</v>
      </c>
      <c r="G3" s="157">
        <v>28</v>
      </c>
      <c r="H3" s="157">
        <v>31</v>
      </c>
      <c r="I3" s="157">
        <v>30</v>
      </c>
      <c r="J3" s="157">
        <v>31</v>
      </c>
      <c r="K3" s="157">
        <v>30</v>
      </c>
      <c r="L3" s="157">
        <v>31</v>
      </c>
      <c r="M3" s="157">
        <v>31</v>
      </c>
      <c r="N3" s="157">
        <v>30</v>
      </c>
      <c r="O3" s="157">
        <v>31</v>
      </c>
      <c r="P3" s="157">
        <v>30</v>
      </c>
      <c r="Q3" s="157">
        <v>31</v>
      </c>
      <c r="R3" s="158">
        <f>SUM(F3:Q3)</f>
        <v>365</v>
      </c>
    </row>
    <row r="4" spans="1:18" s="151" customFormat="1" ht="12" thickBot="1">
      <c r="A4" s="160" t="s">
        <v>244</v>
      </c>
      <c r="B4" s="161"/>
      <c r="C4" s="161"/>
      <c r="D4" s="161"/>
      <c r="E4" s="161"/>
      <c r="F4" s="161"/>
      <c r="G4" s="161"/>
      <c r="H4" s="161"/>
      <c r="I4" s="161"/>
      <c r="J4" s="161"/>
      <c r="K4" s="161"/>
      <c r="L4" s="161"/>
      <c r="M4" s="161"/>
      <c r="N4" s="161"/>
      <c r="O4" s="161"/>
      <c r="P4" s="161"/>
      <c r="Q4" s="161"/>
      <c r="R4" s="162"/>
    </row>
    <row r="5" spans="1:18" s="151" customFormat="1" ht="12" outlineLevel="1" thickBot="1">
      <c r="A5" s="163" t="s">
        <v>245</v>
      </c>
      <c r="B5" s="164"/>
      <c r="C5" s="164"/>
      <c r="D5" s="165"/>
      <c r="E5" s="166"/>
      <c r="F5" s="164"/>
      <c r="G5" s="164"/>
      <c r="H5" s="164"/>
      <c r="I5" s="164"/>
      <c r="J5" s="164"/>
      <c r="K5" s="164"/>
      <c r="L5" s="164"/>
      <c r="M5" s="164"/>
      <c r="N5" s="164"/>
      <c r="O5" s="164"/>
      <c r="P5" s="164"/>
      <c r="Q5" s="164"/>
      <c r="R5" s="167"/>
    </row>
    <row r="6" spans="1:18" s="175" customFormat="1" ht="11.25" outlineLevel="1">
      <c r="A6" s="168" t="s">
        <v>246</v>
      </c>
      <c r="B6" s="169" t="e">
        <f>#REF!</f>
        <v>#REF!</v>
      </c>
      <c r="C6" s="169"/>
      <c r="D6" s="170" t="e">
        <f>B6*0.46</f>
        <v>#REF!</v>
      </c>
      <c r="E6" s="171" t="e">
        <f>+D6*270</f>
        <v>#REF!</v>
      </c>
      <c r="F6" s="172" t="e">
        <f>B6</f>
        <v>#REF!</v>
      </c>
      <c r="G6" s="173" t="e">
        <f t="shared" ref="G6:R6" si="0">(F6+F7+F8+F9-F11-F12-F13-F14-F15)</f>
        <v>#REF!</v>
      </c>
      <c r="H6" s="173" t="e">
        <f t="shared" si="0"/>
        <v>#REF!</v>
      </c>
      <c r="I6" s="173" t="e">
        <f t="shared" si="0"/>
        <v>#REF!</v>
      </c>
      <c r="J6" s="173" t="e">
        <f t="shared" si="0"/>
        <v>#REF!</v>
      </c>
      <c r="K6" s="173" t="e">
        <f t="shared" si="0"/>
        <v>#REF!</v>
      </c>
      <c r="L6" s="173" t="e">
        <f t="shared" si="0"/>
        <v>#REF!</v>
      </c>
      <c r="M6" s="173" t="e">
        <f t="shared" si="0"/>
        <v>#REF!</v>
      </c>
      <c r="N6" s="173" t="e">
        <f t="shared" si="0"/>
        <v>#REF!</v>
      </c>
      <c r="O6" s="173" t="e">
        <f t="shared" si="0"/>
        <v>#REF!</v>
      </c>
      <c r="P6" s="173" t="e">
        <f t="shared" si="0"/>
        <v>#REF!</v>
      </c>
      <c r="Q6" s="173" t="e">
        <f t="shared" si="0"/>
        <v>#REF!</v>
      </c>
      <c r="R6" s="174" t="e">
        <f t="shared" si="0"/>
        <v>#REF!</v>
      </c>
    </row>
    <row r="7" spans="1:18" s="175" customFormat="1" ht="11.25" outlineLevel="1">
      <c r="A7" s="176" t="s">
        <v>247</v>
      </c>
      <c r="B7" s="177"/>
      <c r="C7" s="178"/>
      <c r="D7" s="178"/>
      <c r="E7" s="179"/>
      <c r="F7" s="180"/>
      <c r="G7" s="181"/>
      <c r="H7" s="181"/>
      <c r="I7" s="181"/>
      <c r="J7" s="181"/>
      <c r="K7" s="181"/>
      <c r="L7" s="181"/>
      <c r="M7" s="181"/>
      <c r="N7" s="181"/>
      <c r="O7" s="181"/>
      <c r="P7" s="181"/>
      <c r="Q7" s="181"/>
      <c r="R7" s="182">
        <f t="shared" ref="R7:R16" si="1">SUM(F7:Q7)</f>
        <v>0</v>
      </c>
    </row>
    <row r="8" spans="1:18" s="175" customFormat="1" ht="11.25" outlineLevel="1">
      <c r="A8" s="176" t="s">
        <v>248</v>
      </c>
      <c r="B8" s="183"/>
      <c r="C8" s="184"/>
      <c r="D8" s="184"/>
      <c r="E8" s="185"/>
      <c r="F8" s="180"/>
      <c r="G8" s="181"/>
      <c r="H8" s="181"/>
      <c r="I8" s="181"/>
      <c r="J8" s="181"/>
      <c r="K8" s="181"/>
      <c r="L8" s="181"/>
      <c r="M8" s="181"/>
      <c r="N8" s="181"/>
      <c r="O8" s="181"/>
      <c r="P8" s="181"/>
      <c r="Q8" s="181"/>
      <c r="R8" s="182">
        <f t="shared" si="1"/>
        <v>0</v>
      </c>
    </row>
    <row r="9" spans="1:18" s="175" customFormat="1" ht="12" outlineLevel="1" thickBot="1">
      <c r="A9" s="186" t="s">
        <v>249</v>
      </c>
      <c r="B9" s="183"/>
      <c r="C9" s="184"/>
      <c r="D9" s="184"/>
      <c r="E9" s="185"/>
      <c r="F9" s="187"/>
      <c r="G9" s="188"/>
      <c r="H9" s="188"/>
      <c r="I9" s="188"/>
      <c r="J9" s="188"/>
      <c r="K9" s="188"/>
      <c r="L9" s="188"/>
      <c r="M9" s="188"/>
      <c r="N9" s="188"/>
      <c r="O9" s="188"/>
      <c r="P9" s="188"/>
      <c r="Q9" s="188"/>
      <c r="R9" s="189">
        <f t="shared" si="1"/>
        <v>0</v>
      </c>
    </row>
    <row r="10" spans="1:18" s="151" customFormat="1" ht="12" outlineLevel="1" thickBot="1">
      <c r="A10" s="190" t="s">
        <v>250</v>
      </c>
      <c r="B10" s="183"/>
      <c r="C10" s="184"/>
      <c r="D10" s="184"/>
      <c r="E10" s="185"/>
      <c r="F10" s="191"/>
      <c r="G10" s="164"/>
      <c r="H10" s="164"/>
      <c r="I10" s="164"/>
      <c r="J10" s="164"/>
      <c r="K10" s="164"/>
      <c r="L10" s="164"/>
      <c r="M10" s="164"/>
      <c r="N10" s="164"/>
      <c r="O10" s="164"/>
      <c r="P10" s="164"/>
      <c r="Q10" s="164"/>
      <c r="R10" s="192">
        <f t="shared" si="1"/>
        <v>0</v>
      </c>
    </row>
    <row r="11" spans="1:18" s="175" customFormat="1" ht="11.25" outlineLevel="1">
      <c r="A11" s="193" t="s">
        <v>251</v>
      </c>
      <c r="B11" s="183"/>
      <c r="C11" s="184"/>
      <c r="D11" s="184"/>
      <c r="E11" s="185"/>
      <c r="F11" s="194"/>
      <c r="G11" s="195"/>
      <c r="H11" s="195"/>
      <c r="I11" s="195"/>
      <c r="J11" s="195"/>
      <c r="K11" s="195"/>
      <c r="L11" s="195"/>
      <c r="M11" s="195"/>
      <c r="N11" s="195"/>
      <c r="O11" s="195"/>
      <c r="P11" s="195"/>
      <c r="Q11" s="195"/>
      <c r="R11" s="196">
        <f t="shared" si="1"/>
        <v>0</v>
      </c>
    </row>
    <row r="12" spans="1:18" s="175" customFormat="1" ht="11.25" outlineLevel="1">
      <c r="A12" s="197" t="s">
        <v>252</v>
      </c>
      <c r="B12" s="183"/>
      <c r="C12" s="184"/>
      <c r="D12" s="184"/>
      <c r="E12" s="185"/>
      <c r="F12" s="289"/>
      <c r="G12" s="290"/>
      <c r="H12" s="290"/>
      <c r="I12" s="290"/>
      <c r="J12" s="290"/>
      <c r="K12" s="290"/>
      <c r="L12" s="290"/>
      <c r="M12" s="290"/>
      <c r="N12" s="290"/>
      <c r="O12" s="290"/>
      <c r="P12" s="290"/>
      <c r="Q12" s="291"/>
      <c r="R12" s="199">
        <f t="shared" si="1"/>
        <v>0</v>
      </c>
    </row>
    <row r="13" spans="1:18" s="175" customFormat="1" ht="11.25" outlineLevel="1">
      <c r="A13" s="197" t="s">
        <v>253</v>
      </c>
      <c r="B13" s="183"/>
      <c r="C13" s="184"/>
      <c r="D13" s="184"/>
      <c r="E13" s="185"/>
      <c r="F13" s="292"/>
      <c r="G13" s="293"/>
      <c r="H13" s="293"/>
      <c r="I13" s="293"/>
      <c r="J13" s="293"/>
      <c r="K13" s="293"/>
      <c r="L13" s="293"/>
      <c r="M13" s="293"/>
      <c r="N13" s="293"/>
      <c r="O13" s="293"/>
      <c r="P13" s="293"/>
      <c r="Q13" s="294"/>
      <c r="R13" s="199">
        <f t="shared" si="1"/>
        <v>0</v>
      </c>
    </row>
    <row r="14" spans="1:18" s="175" customFormat="1" ht="11.25" outlineLevel="1">
      <c r="A14" s="197" t="s">
        <v>254</v>
      </c>
      <c r="B14" s="183"/>
      <c r="C14" s="184"/>
      <c r="D14" s="184"/>
      <c r="E14" s="185"/>
      <c r="F14" s="292"/>
      <c r="G14" s="293"/>
      <c r="H14" s="293"/>
      <c r="I14" s="293"/>
      <c r="J14" s="293"/>
      <c r="K14" s="293"/>
      <c r="L14" s="293"/>
      <c r="M14" s="293"/>
      <c r="N14" s="293"/>
      <c r="O14" s="293"/>
      <c r="P14" s="293"/>
      <c r="Q14" s="294"/>
      <c r="R14" s="199">
        <f t="shared" si="1"/>
        <v>0</v>
      </c>
    </row>
    <row r="15" spans="1:18" s="175" customFormat="1" ht="11.25" outlineLevel="1">
      <c r="A15" s="197" t="s">
        <v>255</v>
      </c>
      <c r="B15" s="183"/>
      <c r="C15" s="184"/>
      <c r="D15" s="184"/>
      <c r="E15" s="185"/>
      <c r="F15" s="180"/>
      <c r="G15" s="181"/>
      <c r="H15" s="181"/>
      <c r="I15" s="181"/>
      <c r="J15" s="181"/>
      <c r="K15" s="181"/>
      <c r="L15" s="181"/>
      <c r="M15" s="181"/>
      <c r="N15" s="181"/>
      <c r="O15" s="181"/>
      <c r="P15" s="181"/>
      <c r="Q15" s="181"/>
      <c r="R15" s="199">
        <f t="shared" si="1"/>
        <v>0</v>
      </c>
    </row>
    <row r="16" spans="1:18" s="175" customFormat="1" ht="11.25" outlineLevel="1">
      <c r="A16" s="200" t="s">
        <v>256</v>
      </c>
      <c r="B16" s="201"/>
      <c r="C16" s="202"/>
      <c r="D16" s="202"/>
      <c r="E16" s="203"/>
      <c r="F16" s="204" t="e">
        <f t="shared" ref="F16:Q16" si="2">(F6+G6)/2*F$3</f>
        <v>#REF!</v>
      </c>
      <c r="G16" s="204" t="e">
        <f t="shared" si="2"/>
        <v>#REF!</v>
      </c>
      <c r="H16" s="204" t="e">
        <f t="shared" si="2"/>
        <v>#REF!</v>
      </c>
      <c r="I16" s="204" t="e">
        <f t="shared" si="2"/>
        <v>#REF!</v>
      </c>
      <c r="J16" s="204" t="e">
        <f t="shared" si="2"/>
        <v>#REF!</v>
      </c>
      <c r="K16" s="204" t="e">
        <f t="shared" si="2"/>
        <v>#REF!</v>
      </c>
      <c r="L16" s="204" t="e">
        <f t="shared" si="2"/>
        <v>#REF!</v>
      </c>
      <c r="M16" s="204" t="e">
        <f t="shared" si="2"/>
        <v>#REF!</v>
      </c>
      <c r="N16" s="204" t="e">
        <f t="shared" si="2"/>
        <v>#REF!</v>
      </c>
      <c r="O16" s="204" t="e">
        <f t="shared" si="2"/>
        <v>#REF!</v>
      </c>
      <c r="P16" s="204" t="e">
        <f t="shared" si="2"/>
        <v>#REF!</v>
      </c>
      <c r="Q16" s="204" t="e">
        <f t="shared" si="2"/>
        <v>#REF!</v>
      </c>
      <c r="R16" s="205" t="e">
        <f t="shared" si="1"/>
        <v>#REF!</v>
      </c>
    </row>
    <row r="17" spans="1:18" s="175" customFormat="1" ht="12" outlineLevel="1" thickBot="1">
      <c r="A17" s="206" t="s">
        <v>257</v>
      </c>
      <c r="B17" s="207"/>
      <c r="C17" s="207"/>
      <c r="D17" s="208"/>
      <c r="E17" s="207"/>
      <c r="F17" s="209" t="e">
        <f t="shared" ref="F17:R17" si="3">F16/F$3</f>
        <v>#REF!</v>
      </c>
      <c r="G17" s="210" t="e">
        <f t="shared" si="3"/>
        <v>#REF!</v>
      </c>
      <c r="H17" s="210" t="e">
        <f t="shared" si="3"/>
        <v>#REF!</v>
      </c>
      <c r="I17" s="210" t="e">
        <f t="shared" si="3"/>
        <v>#REF!</v>
      </c>
      <c r="J17" s="210" t="e">
        <f t="shared" si="3"/>
        <v>#REF!</v>
      </c>
      <c r="K17" s="210" t="e">
        <f t="shared" si="3"/>
        <v>#REF!</v>
      </c>
      <c r="L17" s="210" t="e">
        <f t="shared" si="3"/>
        <v>#REF!</v>
      </c>
      <c r="M17" s="210" t="e">
        <f t="shared" si="3"/>
        <v>#REF!</v>
      </c>
      <c r="N17" s="210" t="e">
        <f t="shared" si="3"/>
        <v>#REF!</v>
      </c>
      <c r="O17" s="210" t="e">
        <f t="shared" si="3"/>
        <v>#REF!</v>
      </c>
      <c r="P17" s="210" t="e">
        <f t="shared" si="3"/>
        <v>#REF!</v>
      </c>
      <c r="Q17" s="210" t="e">
        <f t="shared" si="3"/>
        <v>#REF!</v>
      </c>
      <c r="R17" s="211" t="e">
        <f t="shared" si="3"/>
        <v>#REF!</v>
      </c>
    </row>
    <row r="18" spans="1:18" s="151" customFormat="1" ht="12" thickBot="1">
      <c r="A18" s="160" t="s">
        <v>258</v>
      </c>
      <c r="B18" s="161"/>
      <c r="C18" s="161"/>
      <c r="D18" s="161"/>
      <c r="E18" s="161"/>
      <c r="F18" s="161"/>
      <c r="G18" s="161"/>
      <c r="H18" s="161"/>
      <c r="I18" s="161"/>
      <c r="J18" s="161"/>
      <c r="K18" s="161"/>
      <c r="L18" s="161"/>
      <c r="M18" s="161"/>
      <c r="N18" s="161"/>
      <c r="O18" s="161"/>
      <c r="P18" s="161"/>
      <c r="Q18" s="161"/>
      <c r="R18" s="162"/>
    </row>
    <row r="19" spans="1:18" s="151" customFormat="1" ht="12" outlineLevel="1" thickBot="1">
      <c r="A19" s="163" t="s">
        <v>245</v>
      </c>
      <c r="B19" s="164"/>
      <c r="C19" s="164"/>
      <c r="D19" s="165"/>
      <c r="E19" s="166"/>
      <c r="F19" s="164"/>
      <c r="G19" s="164"/>
      <c r="H19" s="164"/>
      <c r="I19" s="164"/>
      <c r="J19" s="164"/>
      <c r="K19" s="164"/>
      <c r="L19" s="164"/>
      <c r="M19" s="164"/>
      <c r="N19" s="164"/>
      <c r="O19" s="164"/>
      <c r="P19" s="164"/>
      <c r="Q19" s="164"/>
      <c r="R19" s="167"/>
    </row>
    <row r="20" spans="1:18" s="175" customFormat="1" ht="11.25" outlineLevel="1">
      <c r="A20" s="168" t="s">
        <v>259</v>
      </c>
      <c r="B20" s="212" t="e">
        <f>#REF!</f>
        <v>#REF!</v>
      </c>
      <c r="C20" s="212"/>
      <c r="D20" s="213" t="e">
        <f>B20*0.4</f>
        <v>#REF!</v>
      </c>
      <c r="E20" s="171" t="e">
        <f>B20*90</f>
        <v>#REF!</v>
      </c>
      <c r="F20" s="172" t="e">
        <f>B20</f>
        <v>#REF!</v>
      </c>
      <c r="G20" s="173" t="e">
        <f t="shared" ref="G20:R20" si="4">(F20+F21+F22+F23-F25-F26-F27-F28-F29)</f>
        <v>#REF!</v>
      </c>
      <c r="H20" s="173" t="e">
        <f t="shared" si="4"/>
        <v>#REF!</v>
      </c>
      <c r="I20" s="173" t="e">
        <f t="shared" si="4"/>
        <v>#REF!</v>
      </c>
      <c r="J20" s="173" t="e">
        <f t="shared" si="4"/>
        <v>#REF!</v>
      </c>
      <c r="K20" s="173" t="e">
        <f t="shared" si="4"/>
        <v>#REF!</v>
      </c>
      <c r="L20" s="173" t="e">
        <f t="shared" si="4"/>
        <v>#REF!</v>
      </c>
      <c r="M20" s="173" t="e">
        <f t="shared" si="4"/>
        <v>#REF!</v>
      </c>
      <c r="N20" s="173" t="e">
        <f t="shared" si="4"/>
        <v>#REF!</v>
      </c>
      <c r="O20" s="173" t="e">
        <f t="shared" si="4"/>
        <v>#REF!</v>
      </c>
      <c r="P20" s="173" t="e">
        <f t="shared" si="4"/>
        <v>#REF!</v>
      </c>
      <c r="Q20" s="173" t="e">
        <f t="shared" si="4"/>
        <v>#REF!</v>
      </c>
      <c r="R20" s="174" t="e">
        <f t="shared" si="4"/>
        <v>#REF!</v>
      </c>
    </row>
    <row r="21" spans="1:18" s="175" customFormat="1" ht="11.25" outlineLevel="1">
      <c r="A21" s="214" t="s">
        <v>247</v>
      </c>
      <c r="B21" s="177"/>
      <c r="C21" s="178"/>
      <c r="D21" s="178"/>
      <c r="E21" s="179"/>
      <c r="F21" s="180">
        <f>F123</f>
        <v>0</v>
      </c>
      <c r="G21" s="180">
        <f t="shared" ref="G21:Q21" si="5">G123</f>
        <v>0</v>
      </c>
      <c r="H21" s="180">
        <f t="shared" si="5"/>
        <v>0</v>
      </c>
      <c r="I21" s="180">
        <f t="shared" si="5"/>
        <v>0</v>
      </c>
      <c r="J21" s="180">
        <f t="shared" si="5"/>
        <v>0</v>
      </c>
      <c r="K21" s="180">
        <f t="shared" si="5"/>
        <v>0</v>
      </c>
      <c r="L21" s="180">
        <f t="shared" si="5"/>
        <v>0</v>
      </c>
      <c r="M21" s="180">
        <f t="shared" si="5"/>
        <v>0</v>
      </c>
      <c r="N21" s="180">
        <f t="shared" si="5"/>
        <v>0</v>
      </c>
      <c r="O21" s="180">
        <f t="shared" si="5"/>
        <v>0</v>
      </c>
      <c r="P21" s="180">
        <f t="shared" si="5"/>
        <v>0</v>
      </c>
      <c r="Q21" s="180">
        <f t="shared" si="5"/>
        <v>0</v>
      </c>
      <c r="R21" s="182">
        <f t="shared" ref="R21:R30" si="6">SUM(F21:Q21)</f>
        <v>0</v>
      </c>
    </row>
    <row r="22" spans="1:18" s="175" customFormat="1" ht="11.25" outlineLevel="1">
      <c r="A22" s="214" t="s">
        <v>248</v>
      </c>
      <c r="B22" s="183"/>
      <c r="C22" s="184"/>
      <c r="D22" s="184"/>
      <c r="E22" s="185"/>
      <c r="F22" s="180"/>
      <c r="G22" s="181"/>
      <c r="H22" s="181"/>
      <c r="I22" s="181"/>
      <c r="J22" s="181"/>
      <c r="K22" s="181"/>
      <c r="L22" s="181"/>
      <c r="M22" s="181"/>
      <c r="N22" s="181"/>
      <c r="O22" s="181"/>
      <c r="P22" s="181"/>
      <c r="Q22" s="181"/>
      <c r="R22" s="182">
        <f t="shared" si="6"/>
        <v>0</v>
      </c>
    </row>
    <row r="23" spans="1:18" s="175" customFormat="1" ht="12" outlineLevel="1" thickBot="1">
      <c r="A23" s="215" t="s">
        <v>249</v>
      </c>
      <c r="B23" s="183"/>
      <c r="C23" s="184"/>
      <c r="D23" s="184"/>
      <c r="E23" s="185"/>
      <c r="F23" s="187"/>
      <c r="G23" s="188"/>
      <c r="H23" s="188"/>
      <c r="I23" s="188"/>
      <c r="J23" s="188"/>
      <c r="K23" s="188"/>
      <c r="L23" s="188"/>
      <c r="M23" s="188"/>
      <c r="N23" s="188"/>
      <c r="O23" s="188"/>
      <c r="P23" s="188"/>
      <c r="Q23" s="188"/>
      <c r="R23" s="189">
        <f t="shared" si="6"/>
        <v>0</v>
      </c>
    </row>
    <row r="24" spans="1:18" s="151" customFormat="1" ht="12" outlineLevel="1" thickBot="1">
      <c r="A24" s="216" t="s">
        <v>250</v>
      </c>
      <c r="B24" s="183"/>
      <c r="C24" s="184"/>
      <c r="D24" s="184"/>
      <c r="E24" s="185"/>
      <c r="F24" s="191"/>
      <c r="G24" s="164"/>
      <c r="H24" s="164"/>
      <c r="I24" s="164"/>
      <c r="J24" s="164"/>
      <c r="K24" s="164"/>
      <c r="L24" s="164"/>
      <c r="M24" s="164"/>
      <c r="N24" s="164"/>
      <c r="O24" s="164"/>
      <c r="P24" s="164"/>
      <c r="Q24" s="164"/>
      <c r="R24" s="192">
        <f t="shared" si="6"/>
        <v>0</v>
      </c>
    </row>
    <row r="25" spans="1:18" s="175" customFormat="1" ht="11.25" outlineLevel="1">
      <c r="A25" s="217" t="s">
        <v>251</v>
      </c>
      <c r="B25" s="183"/>
      <c r="C25" s="184"/>
      <c r="D25" s="184"/>
      <c r="E25" s="185"/>
      <c r="F25" s="194"/>
      <c r="G25" s="195"/>
      <c r="H25" s="195"/>
      <c r="I25" s="195"/>
      <c r="J25" s="195"/>
      <c r="K25" s="195"/>
      <c r="L25" s="195"/>
      <c r="M25" s="195"/>
      <c r="N25" s="195"/>
      <c r="O25" s="195"/>
      <c r="P25" s="195"/>
      <c r="Q25" s="195"/>
      <c r="R25" s="196">
        <f t="shared" si="6"/>
        <v>0</v>
      </c>
    </row>
    <row r="26" spans="1:18" s="175" customFormat="1" ht="22.5" customHeight="1" outlineLevel="1">
      <c r="A26" s="218" t="s">
        <v>252</v>
      </c>
      <c r="B26" s="183"/>
      <c r="C26" s="184"/>
      <c r="D26" s="184"/>
      <c r="E26" s="184"/>
      <c r="F26" s="198"/>
      <c r="G26" s="198"/>
      <c r="H26" s="198"/>
      <c r="I26" s="198"/>
      <c r="J26" s="198"/>
      <c r="K26" s="198"/>
      <c r="L26" s="198"/>
      <c r="M26" s="198"/>
      <c r="N26" s="198"/>
      <c r="O26" s="198"/>
      <c r="P26" s="198"/>
      <c r="Q26" s="198"/>
      <c r="R26" s="199">
        <f t="shared" si="6"/>
        <v>0</v>
      </c>
    </row>
    <row r="27" spans="1:18" s="175" customFormat="1" ht="11.25" outlineLevel="1">
      <c r="A27" s="218" t="s">
        <v>253</v>
      </c>
      <c r="B27" s="183"/>
      <c r="C27" s="184"/>
      <c r="D27" s="184"/>
      <c r="E27" s="184"/>
      <c r="F27" s="198"/>
      <c r="G27" s="198"/>
      <c r="H27" s="198"/>
      <c r="I27" s="198"/>
      <c r="J27" s="198"/>
      <c r="K27" s="198"/>
      <c r="L27" s="198"/>
      <c r="M27" s="198"/>
      <c r="N27" s="198"/>
      <c r="O27" s="198"/>
      <c r="P27" s="198"/>
      <c r="Q27" s="198"/>
      <c r="R27" s="199">
        <f t="shared" si="6"/>
        <v>0</v>
      </c>
    </row>
    <row r="28" spans="1:18" s="175" customFormat="1" ht="11.25" outlineLevel="1">
      <c r="A28" s="218" t="s">
        <v>254</v>
      </c>
      <c r="B28" s="183"/>
      <c r="C28" s="184"/>
      <c r="D28" s="184"/>
      <c r="E28" s="184"/>
      <c r="F28" s="198"/>
      <c r="G28" s="198"/>
      <c r="H28" s="198"/>
      <c r="I28" s="198"/>
      <c r="J28" s="198"/>
      <c r="K28" s="198"/>
      <c r="L28" s="198"/>
      <c r="M28" s="198"/>
      <c r="N28" s="198"/>
      <c r="O28" s="198"/>
      <c r="P28" s="198"/>
      <c r="Q28" s="198"/>
      <c r="R28" s="199">
        <f t="shared" si="6"/>
        <v>0</v>
      </c>
    </row>
    <row r="29" spans="1:18" s="175" customFormat="1" ht="11.25" outlineLevel="1">
      <c r="A29" s="218" t="s">
        <v>255</v>
      </c>
      <c r="B29" s="183"/>
      <c r="C29" s="184"/>
      <c r="D29" s="184"/>
      <c r="E29" s="185"/>
      <c r="F29" s="219"/>
      <c r="G29" s="220"/>
      <c r="H29" s="220"/>
      <c r="I29" s="220"/>
      <c r="J29" s="220"/>
      <c r="K29" s="220"/>
      <c r="L29" s="220"/>
      <c r="M29" s="220"/>
      <c r="N29" s="220"/>
      <c r="O29" s="220"/>
      <c r="P29" s="220"/>
      <c r="Q29" s="220"/>
      <c r="R29" s="182">
        <f t="shared" si="6"/>
        <v>0</v>
      </c>
    </row>
    <row r="30" spans="1:18" outlineLevel="1">
      <c r="A30" s="221" t="s">
        <v>256</v>
      </c>
      <c r="B30" s="201"/>
      <c r="C30" s="202"/>
      <c r="D30" s="202"/>
      <c r="E30" s="203"/>
      <c r="F30" s="204" t="e">
        <f t="shared" ref="F30:Q30" si="7">(F20+G20)/2*F$3</f>
        <v>#REF!</v>
      </c>
      <c r="G30" s="204" t="e">
        <f t="shared" si="7"/>
        <v>#REF!</v>
      </c>
      <c r="H30" s="204" t="e">
        <f t="shared" si="7"/>
        <v>#REF!</v>
      </c>
      <c r="I30" s="204" t="e">
        <f t="shared" si="7"/>
        <v>#REF!</v>
      </c>
      <c r="J30" s="204" t="e">
        <f t="shared" si="7"/>
        <v>#REF!</v>
      </c>
      <c r="K30" s="204" t="e">
        <f t="shared" si="7"/>
        <v>#REF!</v>
      </c>
      <c r="L30" s="204" t="e">
        <f t="shared" si="7"/>
        <v>#REF!</v>
      </c>
      <c r="M30" s="204" t="e">
        <f t="shared" si="7"/>
        <v>#REF!</v>
      </c>
      <c r="N30" s="204" t="e">
        <f t="shared" si="7"/>
        <v>#REF!</v>
      </c>
      <c r="O30" s="204" t="e">
        <f t="shared" si="7"/>
        <v>#REF!</v>
      </c>
      <c r="P30" s="204" t="e">
        <f t="shared" si="7"/>
        <v>#REF!</v>
      </c>
      <c r="Q30" s="204" t="e">
        <f t="shared" si="7"/>
        <v>#REF!</v>
      </c>
      <c r="R30" s="205" t="e">
        <f t="shared" si="6"/>
        <v>#REF!</v>
      </c>
    </row>
    <row r="31" spans="1:18" s="175" customFormat="1" ht="12" outlineLevel="1" thickBot="1">
      <c r="A31" s="206" t="s">
        <v>257</v>
      </c>
      <c r="B31" s="223"/>
      <c r="C31" s="223"/>
      <c r="D31" s="224"/>
      <c r="E31" s="223"/>
      <c r="F31" s="209" t="e">
        <f t="shared" ref="F31:R31" si="8">F30/F$3</f>
        <v>#REF!</v>
      </c>
      <c r="G31" s="210" t="e">
        <f t="shared" si="8"/>
        <v>#REF!</v>
      </c>
      <c r="H31" s="210" t="e">
        <f t="shared" si="8"/>
        <v>#REF!</v>
      </c>
      <c r="I31" s="210" t="e">
        <f t="shared" si="8"/>
        <v>#REF!</v>
      </c>
      <c r="J31" s="210" t="e">
        <f t="shared" si="8"/>
        <v>#REF!</v>
      </c>
      <c r="K31" s="210" t="e">
        <f t="shared" si="8"/>
        <v>#REF!</v>
      </c>
      <c r="L31" s="210" t="e">
        <f t="shared" si="8"/>
        <v>#REF!</v>
      </c>
      <c r="M31" s="210" t="e">
        <f t="shared" si="8"/>
        <v>#REF!</v>
      </c>
      <c r="N31" s="210" t="e">
        <f t="shared" si="8"/>
        <v>#REF!</v>
      </c>
      <c r="O31" s="210" t="e">
        <f t="shared" si="8"/>
        <v>#REF!</v>
      </c>
      <c r="P31" s="210" t="e">
        <f t="shared" si="8"/>
        <v>#REF!</v>
      </c>
      <c r="Q31" s="210" t="e">
        <f t="shared" si="8"/>
        <v>#REF!</v>
      </c>
      <c r="R31" s="211" t="e">
        <f t="shared" si="8"/>
        <v>#REF!</v>
      </c>
    </row>
    <row r="32" spans="1:18" s="151" customFormat="1" ht="12" thickBot="1">
      <c r="A32" s="160" t="s">
        <v>260</v>
      </c>
      <c r="B32" s="161"/>
      <c r="C32" s="161"/>
      <c r="D32" s="161"/>
      <c r="E32" s="161"/>
      <c r="F32" s="161"/>
      <c r="G32" s="161"/>
      <c r="H32" s="161"/>
      <c r="I32" s="161"/>
      <c r="J32" s="161"/>
      <c r="K32" s="161"/>
      <c r="L32" s="161"/>
      <c r="M32" s="161"/>
      <c r="N32" s="161"/>
      <c r="O32" s="161"/>
      <c r="P32" s="161"/>
      <c r="Q32" s="161"/>
      <c r="R32" s="162"/>
    </row>
    <row r="33" spans="1:18" s="151" customFormat="1" ht="12" outlineLevel="1" thickBot="1">
      <c r="A33" s="163" t="s">
        <v>245</v>
      </c>
      <c r="B33" s="164"/>
      <c r="C33" s="164"/>
      <c r="D33" s="165"/>
      <c r="E33" s="166"/>
      <c r="F33" s="164"/>
      <c r="G33" s="164"/>
      <c r="H33" s="164"/>
      <c r="I33" s="164"/>
      <c r="J33" s="164"/>
      <c r="K33" s="164"/>
      <c r="L33" s="164"/>
      <c r="M33" s="164"/>
      <c r="N33" s="164"/>
      <c r="O33" s="164"/>
      <c r="P33" s="164"/>
      <c r="Q33" s="164"/>
      <c r="R33" s="167"/>
    </row>
    <row r="34" spans="1:18" s="175" customFormat="1" ht="11.25" outlineLevel="1">
      <c r="A34" s="168" t="s">
        <v>246</v>
      </c>
      <c r="B34" s="169" t="e">
        <f>+#REF!</f>
        <v>#REF!</v>
      </c>
      <c r="C34" s="169"/>
      <c r="D34" s="213" t="e">
        <f>B34*0.33</f>
        <v>#REF!</v>
      </c>
      <c r="E34" s="171" t="e">
        <f>+D34*270</f>
        <v>#REF!</v>
      </c>
      <c r="F34" s="172" t="e">
        <f>B34</f>
        <v>#REF!</v>
      </c>
      <c r="G34" s="173" t="e">
        <f t="shared" ref="G34:R34" si="9">(F34+F35+F36+F37-F39-F40-F41-F42-F43)</f>
        <v>#REF!</v>
      </c>
      <c r="H34" s="173" t="e">
        <f t="shared" si="9"/>
        <v>#REF!</v>
      </c>
      <c r="I34" s="173" t="e">
        <f t="shared" si="9"/>
        <v>#REF!</v>
      </c>
      <c r="J34" s="173" t="e">
        <f t="shared" si="9"/>
        <v>#REF!</v>
      </c>
      <c r="K34" s="173" t="e">
        <f t="shared" si="9"/>
        <v>#REF!</v>
      </c>
      <c r="L34" s="173" t="e">
        <f t="shared" si="9"/>
        <v>#REF!</v>
      </c>
      <c r="M34" s="173" t="e">
        <f t="shared" si="9"/>
        <v>#REF!</v>
      </c>
      <c r="N34" s="173" t="e">
        <f t="shared" si="9"/>
        <v>#REF!</v>
      </c>
      <c r="O34" s="173" t="e">
        <f t="shared" si="9"/>
        <v>#REF!</v>
      </c>
      <c r="P34" s="173" t="e">
        <f t="shared" si="9"/>
        <v>#REF!</v>
      </c>
      <c r="Q34" s="173" t="e">
        <f t="shared" si="9"/>
        <v>#REF!</v>
      </c>
      <c r="R34" s="174" t="e">
        <f t="shared" si="9"/>
        <v>#REF!</v>
      </c>
    </row>
    <row r="35" spans="1:18" s="175" customFormat="1" ht="11.25" outlineLevel="1">
      <c r="A35" s="176" t="s">
        <v>247</v>
      </c>
      <c r="B35" s="177"/>
      <c r="C35" s="178"/>
      <c r="D35" s="178"/>
      <c r="E35" s="179"/>
      <c r="F35" s="180">
        <f>F67</f>
        <v>0</v>
      </c>
      <c r="G35" s="180">
        <f t="shared" ref="G35:Q35" si="10">G67</f>
        <v>0</v>
      </c>
      <c r="H35" s="180" t="e">
        <f t="shared" si="10"/>
        <v>#REF!</v>
      </c>
      <c r="I35" s="180">
        <f t="shared" si="10"/>
        <v>0</v>
      </c>
      <c r="J35" s="180">
        <f>J67</f>
        <v>0</v>
      </c>
      <c r="K35" s="180">
        <f t="shared" si="10"/>
        <v>0</v>
      </c>
      <c r="L35" s="180">
        <f t="shared" si="10"/>
        <v>0</v>
      </c>
      <c r="M35" s="180">
        <f t="shared" si="10"/>
        <v>0</v>
      </c>
      <c r="N35" s="180">
        <f t="shared" si="10"/>
        <v>0</v>
      </c>
      <c r="O35" s="180">
        <f t="shared" si="10"/>
        <v>0</v>
      </c>
      <c r="P35" s="180">
        <f t="shared" si="10"/>
        <v>0</v>
      </c>
      <c r="Q35" s="180">
        <f t="shared" si="10"/>
        <v>0</v>
      </c>
      <c r="R35" s="182" t="e">
        <f>SUM(F35:Q35)</f>
        <v>#REF!</v>
      </c>
    </row>
    <row r="36" spans="1:18" s="175" customFormat="1" ht="11.25" outlineLevel="1">
      <c r="A36" s="176" t="s">
        <v>248</v>
      </c>
      <c r="B36" s="183"/>
      <c r="C36" s="184"/>
      <c r="D36" s="184"/>
      <c r="E36" s="185"/>
      <c r="F36" s="180"/>
      <c r="G36" s="181"/>
      <c r="H36" s="181"/>
      <c r="I36" s="181"/>
      <c r="J36" s="181"/>
      <c r="K36" s="181"/>
      <c r="L36" s="181"/>
      <c r="M36" s="181"/>
      <c r="N36" s="181"/>
      <c r="O36" s="181"/>
      <c r="P36" s="181"/>
      <c r="Q36" s="181"/>
      <c r="R36" s="182">
        <f>SUM(F36:Q36)</f>
        <v>0</v>
      </c>
    </row>
    <row r="37" spans="1:18" s="175" customFormat="1" ht="12" outlineLevel="1" thickBot="1">
      <c r="A37" s="186" t="s">
        <v>249</v>
      </c>
      <c r="B37" s="183"/>
      <c r="C37" s="184"/>
      <c r="D37" s="184"/>
      <c r="E37" s="185"/>
      <c r="F37" s="187"/>
      <c r="G37" s="188"/>
      <c r="H37" s="188"/>
      <c r="I37" s="188"/>
      <c r="J37" s="188"/>
      <c r="K37" s="188"/>
      <c r="L37" s="188"/>
      <c r="M37" s="188"/>
      <c r="N37" s="188"/>
      <c r="O37" s="188"/>
      <c r="P37" s="188"/>
      <c r="Q37" s="188"/>
      <c r="R37" s="189">
        <f>SUM(F37:Q37)</f>
        <v>0</v>
      </c>
    </row>
    <row r="38" spans="1:18" s="151" customFormat="1" ht="12" outlineLevel="1" thickBot="1">
      <c r="A38" s="190" t="s">
        <v>250</v>
      </c>
      <c r="B38" s="183"/>
      <c r="C38" s="184"/>
      <c r="D38" s="184"/>
      <c r="E38" s="185"/>
      <c r="F38" s="191"/>
      <c r="G38" s="164"/>
      <c r="H38" s="164"/>
      <c r="I38" s="164"/>
      <c r="J38" s="164"/>
      <c r="K38" s="164"/>
      <c r="L38" s="164"/>
      <c r="M38" s="164"/>
      <c r="N38" s="164"/>
      <c r="O38" s="164"/>
      <c r="P38" s="164"/>
      <c r="Q38" s="164"/>
      <c r="R38" s="192"/>
    </row>
    <row r="39" spans="1:18" s="175" customFormat="1" ht="11.25" outlineLevel="1">
      <c r="A39" s="193" t="s">
        <v>251</v>
      </c>
      <c r="B39" s="183"/>
      <c r="C39" s="184"/>
      <c r="D39" s="184"/>
      <c r="E39" s="185"/>
      <c r="F39" s="194"/>
      <c r="G39" s="195"/>
      <c r="H39" s="195"/>
      <c r="I39" s="195"/>
      <c r="J39" s="195"/>
      <c r="K39" s="195"/>
      <c r="L39" s="195"/>
      <c r="M39" s="195"/>
      <c r="N39" s="195"/>
      <c r="O39" s="195"/>
      <c r="P39" s="195"/>
      <c r="Q39" s="195"/>
      <c r="R39" s="196">
        <f t="shared" ref="R39:R44" si="11">SUM(F39:Q39)</f>
        <v>0</v>
      </c>
    </row>
    <row r="40" spans="1:18" s="175" customFormat="1" ht="22.5" customHeight="1" outlineLevel="1">
      <c r="A40" s="197" t="s">
        <v>252</v>
      </c>
      <c r="B40" s="183"/>
      <c r="C40" s="184"/>
      <c r="D40" s="184"/>
      <c r="E40" s="184"/>
      <c r="F40" s="198"/>
      <c r="G40" s="198"/>
      <c r="H40" s="198"/>
      <c r="I40" s="198"/>
      <c r="J40" s="198"/>
      <c r="K40" s="198"/>
      <c r="L40" s="198"/>
      <c r="M40" s="198"/>
      <c r="N40" s="198"/>
      <c r="O40" s="198"/>
      <c r="P40" s="198"/>
      <c r="Q40" s="198"/>
      <c r="R40" s="199">
        <f t="shared" si="11"/>
        <v>0</v>
      </c>
    </row>
    <row r="41" spans="1:18" s="175" customFormat="1" ht="11.25" outlineLevel="1">
      <c r="A41" s="197" t="s">
        <v>253</v>
      </c>
      <c r="B41" s="183"/>
      <c r="C41" s="184"/>
      <c r="D41" s="184"/>
      <c r="E41" s="184"/>
      <c r="F41" s="198"/>
      <c r="G41" s="198"/>
      <c r="H41" s="198"/>
      <c r="I41" s="198"/>
      <c r="J41" s="198"/>
      <c r="K41" s="198"/>
      <c r="L41" s="198"/>
      <c r="M41" s="198"/>
      <c r="N41" s="198"/>
      <c r="O41" s="198"/>
      <c r="P41" s="198"/>
      <c r="Q41" s="198"/>
      <c r="R41" s="199">
        <f t="shared" si="11"/>
        <v>0</v>
      </c>
    </row>
    <row r="42" spans="1:18" s="175" customFormat="1" ht="11.25" outlineLevel="1">
      <c r="A42" s="197" t="s">
        <v>254</v>
      </c>
      <c r="B42" s="183"/>
      <c r="C42" s="184"/>
      <c r="D42" s="184"/>
      <c r="E42" s="184"/>
      <c r="F42" s="198"/>
      <c r="G42" s="198"/>
      <c r="H42" s="198"/>
      <c r="I42" s="198"/>
      <c r="J42" s="198"/>
      <c r="K42" s="198"/>
      <c r="L42" s="198"/>
      <c r="M42" s="198"/>
      <c r="N42" s="198"/>
      <c r="O42" s="198"/>
      <c r="P42" s="198"/>
      <c r="Q42" s="198"/>
      <c r="R42" s="199">
        <f t="shared" si="11"/>
        <v>0</v>
      </c>
    </row>
    <row r="43" spans="1:18" s="175" customFormat="1" ht="11.25" outlineLevel="1">
      <c r="A43" s="197" t="s">
        <v>255</v>
      </c>
      <c r="B43" s="183"/>
      <c r="C43" s="184"/>
      <c r="D43" s="184"/>
      <c r="E43" s="185"/>
      <c r="F43" s="180"/>
      <c r="G43" s="181"/>
      <c r="H43" s="181"/>
      <c r="I43" s="181"/>
      <c r="J43" s="181"/>
      <c r="K43" s="181"/>
      <c r="L43" s="181"/>
      <c r="M43" s="181"/>
      <c r="N43" s="181"/>
      <c r="O43" s="181"/>
      <c r="P43" s="181"/>
      <c r="Q43" s="181"/>
      <c r="R43" s="199">
        <f t="shared" si="11"/>
        <v>0</v>
      </c>
    </row>
    <row r="44" spans="1:18" s="175" customFormat="1" ht="11.25" outlineLevel="1">
      <c r="A44" s="200" t="s">
        <v>256</v>
      </c>
      <c r="B44" s="201"/>
      <c r="C44" s="202"/>
      <c r="D44" s="202"/>
      <c r="E44" s="203"/>
      <c r="F44" s="204" t="e">
        <f t="shared" ref="F44:Q44" si="12">(F34+G34)/2*F$3</f>
        <v>#REF!</v>
      </c>
      <c r="G44" s="204" t="e">
        <f t="shared" si="12"/>
        <v>#REF!</v>
      </c>
      <c r="H44" s="204" t="e">
        <f>(H34+I34)/2*H$3</f>
        <v>#REF!</v>
      </c>
      <c r="I44" s="204" t="e">
        <f t="shared" si="12"/>
        <v>#REF!</v>
      </c>
      <c r="J44" s="204" t="e">
        <f t="shared" si="12"/>
        <v>#REF!</v>
      </c>
      <c r="K44" s="204" t="e">
        <f t="shared" si="12"/>
        <v>#REF!</v>
      </c>
      <c r="L44" s="204" t="e">
        <f t="shared" si="12"/>
        <v>#REF!</v>
      </c>
      <c r="M44" s="204" t="e">
        <f t="shared" si="12"/>
        <v>#REF!</v>
      </c>
      <c r="N44" s="204" t="e">
        <f t="shared" si="12"/>
        <v>#REF!</v>
      </c>
      <c r="O44" s="204" t="e">
        <f t="shared" si="12"/>
        <v>#REF!</v>
      </c>
      <c r="P44" s="204" t="e">
        <f t="shared" si="12"/>
        <v>#REF!</v>
      </c>
      <c r="Q44" s="204" t="e">
        <f t="shared" si="12"/>
        <v>#REF!</v>
      </c>
      <c r="R44" s="205" t="e">
        <f t="shared" si="11"/>
        <v>#REF!</v>
      </c>
    </row>
    <row r="45" spans="1:18" s="175" customFormat="1" ht="12" outlineLevel="1" thickBot="1">
      <c r="A45" s="206" t="s">
        <v>257</v>
      </c>
      <c r="B45" s="207"/>
      <c r="C45" s="207"/>
      <c r="D45" s="208"/>
      <c r="E45" s="207"/>
      <c r="F45" s="209" t="e">
        <f t="shared" ref="F45:R45" si="13">F44/F$3</f>
        <v>#REF!</v>
      </c>
      <c r="G45" s="210" t="e">
        <f t="shared" si="13"/>
        <v>#REF!</v>
      </c>
      <c r="H45" s="210" t="e">
        <f t="shared" si="13"/>
        <v>#REF!</v>
      </c>
      <c r="I45" s="210" t="e">
        <f t="shared" si="13"/>
        <v>#REF!</v>
      </c>
      <c r="J45" s="210" t="e">
        <f t="shared" si="13"/>
        <v>#REF!</v>
      </c>
      <c r="K45" s="210" t="e">
        <f t="shared" si="13"/>
        <v>#REF!</v>
      </c>
      <c r="L45" s="210" t="e">
        <f t="shared" si="13"/>
        <v>#REF!</v>
      </c>
      <c r="M45" s="210" t="e">
        <f t="shared" si="13"/>
        <v>#REF!</v>
      </c>
      <c r="N45" s="210" t="e">
        <f t="shared" si="13"/>
        <v>#REF!</v>
      </c>
      <c r="O45" s="210" t="e">
        <f t="shared" si="13"/>
        <v>#REF!</v>
      </c>
      <c r="P45" s="210" t="e">
        <f t="shared" si="13"/>
        <v>#REF!</v>
      </c>
      <c r="Q45" s="210" t="e">
        <f t="shared" si="13"/>
        <v>#REF!</v>
      </c>
      <c r="R45" s="211" t="e">
        <f t="shared" si="13"/>
        <v>#REF!</v>
      </c>
    </row>
    <row r="46" spans="1:18" s="151" customFormat="1" ht="12" thickBot="1">
      <c r="A46" s="160" t="s">
        <v>261</v>
      </c>
      <c r="B46" s="161"/>
      <c r="C46" s="161"/>
      <c r="D46" s="161"/>
      <c r="E46" s="161"/>
      <c r="F46" s="161"/>
      <c r="G46" s="161"/>
      <c r="H46" s="161"/>
      <c r="I46" s="161"/>
      <c r="J46" s="161"/>
      <c r="K46" s="161"/>
      <c r="L46" s="161"/>
      <c r="M46" s="161"/>
      <c r="N46" s="161"/>
      <c r="O46" s="161"/>
      <c r="P46" s="161"/>
      <c r="Q46" s="161"/>
      <c r="R46" s="162"/>
    </row>
    <row r="47" spans="1:18" s="151" customFormat="1" ht="12" outlineLevel="1" thickBot="1">
      <c r="A47" s="163" t="s">
        <v>245</v>
      </c>
      <c r="B47" s="164"/>
      <c r="C47" s="164"/>
      <c r="D47" s="165"/>
      <c r="E47" s="166"/>
      <c r="F47" s="164"/>
      <c r="G47" s="164"/>
      <c r="H47" s="164"/>
      <c r="I47" s="164"/>
      <c r="J47" s="164"/>
      <c r="K47" s="164"/>
      <c r="L47" s="164"/>
      <c r="M47" s="164"/>
      <c r="N47" s="164"/>
      <c r="O47" s="164"/>
      <c r="P47" s="164"/>
      <c r="Q47" s="164"/>
      <c r="R47" s="167"/>
    </row>
    <row r="48" spans="1:18" s="175" customFormat="1" ht="11.25" outlineLevel="1">
      <c r="A48" s="168" t="s">
        <v>262</v>
      </c>
      <c r="B48" s="212" t="e">
        <f>#REF!</f>
        <v>#REF!</v>
      </c>
      <c r="C48" s="212"/>
      <c r="D48" s="213" t="e">
        <f>B48*0.45</f>
        <v>#REF!</v>
      </c>
      <c r="E48" s="225"/>
      <c r="F48" s="172" t="e">
        <f>B48</f>
        <v>#REF!</v>
      </c>
      <c r="G48" s="173" t="e">
        <f>(F48+F49+F50+F51-F53-F54-F55-F56-F57)</f>
        <v>#REF!</v>
      </c>
      <c r="H48" s="173" t="e">
        <f>(G48+G49+G50+G51-G53-G54-G55-G56-G57)</f>
        <v>#REF!</v>
      </c>
      <c r="I48" s="173" t="e">
        <f>(H48+H49+H50+H51-H53-H54-H55-H56-H57)</f>
        <v>#REF!</v>
      </c>
      <c r="J48" s="173" t="e">
        <f>(I48+I49+I50+I51-I53-I54-I55-I56-I57)</f>
        <v>#REF!</v>
      </c>
      <c r="K48" s="173" t="e">
        <f t="shared" ref="K48:R48" si="14">(J48+J49+J50+J51-J53-J54-J55-J56-J57)</f>
        <v>#REF!</v>
      </c>
      <c r="L48" s="173" t="e">
        <f t="shared" si="14"/>
        <v>#REF!</v>
      </c>
      <c r="M48" s="173" t="e">
        <f t="shared" si="14"/>
        <v>#REF!</v>
      </c>
      <c r="N48" s="173" t="e">
        <f t="shared" si="14"/>
        <v>#REF!</v>
      </c>
      <c r="O48" s="173" t="e">
        <f t="shared" si="14"/>
        <v>#REF!</v>
      </c>
      <c r="P48" s="173" t="e">
        <f t="shared" si="14"/>
        <v>#REF!</v>
      </c>
      <c r="Q48" s="173" t="e">
        <f t="shared" si="14"/>
        <v>#REF!</v>
      </c>
      <c r="R48" s="174" t="e">
        <f t="shared" si="14"/>
        <v>#REF!</v>
      </c>
    </row>
    <row r="49" spans="1:18" s="175" customFormat="1" ht="11.25" outlineLevel="1">
      <c r="A49" s="214" t="s">
        <v>247</v>
      </c>
      <c r="B49" s="177"/>
      <c r="C49" s="178"/>
      <c r="D49" s="178"/>
      <c r="E49" s="179"/>
      <c r="F49" s="226">
        <f t="shared" ref="F49:Q49" si="15">F11+F39+F25</f>
        <v>0</v>
      </c>
      <c r="G49" s="198">
        <f t="shared" si="15"/>
        <v>0</v>
      </c>
      <c r="H49" s="198">
        <f t="shared" si="15"/>
        <v>0</v>
      </c>
      <c r="I49" s="198">
        <f t="shared" si="15"/>
        <v>0</v>
      </c>
      <c r="J49" s="198">
        <f t="shared" si="15"/>
        <v>0</v>
      </c>
      <c r="K49" s="198">
        <f t="shared" si="15"/>
        <v>0</v>
      </c>
      <c r="L49" s="198">
        <f t="shared" si="15"/>
        <v>0</v>
      </c>
      <c r="M49" s="198">
        <f t="shared" si="15"/>
        <v>0</v>
      </c>
      <c r="N49" s="198">
        <f t="shared" si="15"/>
        <v>0</v>
      </c>
      <c r="O49" s="198">
        <f t="shared" si="15"/>
        <v>0</v>
      </c>
      <c r="P49" s="198">
        <f t="shared" si="15"/>
        <v>0</v>
      </c>
      <c r="Q49" s="198">
        <f t="shared" si="15"/>
        <v>0</v>
      </c>
      <c r="R49" s="182">
        <f>SUM(F49:Q49)</f>
        <v>0</v>
      </c>
    </row>
    <row r="50" spans="1:18" s="175" customFormat="1" ht="11.25" outlineLevel="1">
      <c r="A50" s="214" t="s">
        <v>248</v>
      </c>
      <c r="B50" s="183"/>
      <c r="C50" s="184"/>
      <c r="D50" s="184"/>
      <c r="E50" s="185"/>
      <c r="F50" s="180"/>
      <c r="G50" s="181"/>
      <c r="H50" s="181"/>
      <c r="I50" s="181"/>
      <c r="J50" s="181"/>
      <c r="K50" s="181"/>
      <c r="L50" s="181"/>
      <c r="M50" s="181"/>
      <c r="N50" s="181"/>
      <c r="O50" s="181"/>
      <c r="P50" s="181"/>
      <c r="Q50" s="181"/>
      <c r="R50" s="182">
        <f>SUM(F50:Q50)</f>
        <v>0</v>
      </c>
    </row>
    <row r="51" spans="1:18" s="175" customFormat="1" ht="12" outlineLevel="1" thickBot="1">
      <c r="A51" s="215" t="s">
        <v>249</v>
      </c>
      <c r="B51" s="183"/>
      <c r="C51" s="184"/>
      <c r="D51" s="184"/>
      <c r="E51" s="185"/>
      <c r="F51" s="187"/>
      <c r="G51" s="188"/>
      <c r="H51" s="188"/>
      <c r="I51" s="188"/>
      <c r="J51" s="188"/>
      <c r="K51" s="188"/>
      <c r="L51" s="188"/>
      <c r="M51" s="188"/>
      <c r="N51" s="188"/>
      <c r="O51" s="188"/>
      <c r="P51" s="188"/>
      <c r="Q51" s="188"/>
      <c r="R51" s="189">
        <f>SUM(F51:Q51)</f>
        <v>0</v>
      </c>
    </row>
    <row r="52" spans="1:18" s="151" customFormat="1" ht="12" outlineLevel="1" thickBot="1">
      <c r="A52" s="216" t="s">
        <v>250</v>
      </c>
      <c r="B52" s="183"/>
      <c r="C52" s="184"/>
      <c r="D52" s="184"/>
      <c r="E52" s="185"/>
      <c r="F52" s="191"/>
      <c r="G52" s="164"/>
      <c r="H52" s="164"/>
      <c r="I52" s="164"/>
      <c r="J52" s="164"/>
      <c r="K52" s="164"/>
      <c r="L52" s="164"/>
      <c r="M52" s="164"/>
      <c r="N52" s="164"/>
      <c r="O52" s="164"/>
      <c r="P52" s="164"/>
      <c r="Q52" s="164"/>
      <c r="R52" s="192"/>
    </row>
    <row r="53" spans="1:18" s="175" customFormat="1" ht="11.25" outlineLevel="1">
      <c r="A53" s="217" t="s">
        <v>251</v>
      </c>
      <c r="B53" s="183"/>
      <c r="C53" s="184"/>
      <c r="D53" s="184"/>
      <c r="E53" s="185"/>
      <c r="F53" s="219"/>
      <c r="G53" s="220"/>
      <c r="H53" s="220"/>
      <c r="I53" s="220"/>
      <c r="J53" s="220"/>
      <c r="K53" s="220"/>
      <c r="L53" s="220"/>
      <c r="M53" s="220"/>
      <c r="N53" s="220"/>
      <c r="O53" s="220"/>
      <c r="P53" s="220"/>
      <c r="Q53" s="220"/>
      <c r="R53" s="196">
        <f t="shared" ref="R53:R58" si="16">SUM(F53:Q53)</f>
        <v>0</v>
      </c>
    </row>
    <row r="54" spans="1:18" s="175" customFormat="1" ht="22.5" customHeight="1" outlineLevel="1">
      <c r="A54" s="218" t="s">
        <v>252</v>
      </c>
      <c r="B54" s="183"/>
      <c r="C54" s="184"/>
      <c r="D54" s="184"/>
      <c r="E54" s="185"/>
      <c r="F54" s="180"/>
      <c r="G54" s="181"/>
      <c r="H54" s="181"/>
      <c r="I54" s="181"/>
      <c r="J54" s="181"/>
      <c r="K54" s="181"/>
      <c r="L54" s="181"/>
      <c r="M54" s="181"/>
      <c r="N54" s="181"/>
      <c r="O54" s="181"/>
      <c r="P54" s="181" t="e">
        <f>P48</f>
        <v>#REF!</v>
      </c>
      <c r="Q54" s="181"/>
      <c r="R54" s="182" t="e">
        <f t="shared" si="16"/>
        <v>#REF!</v>
      </c>
    </row>
    <row r="55" spans="1:18" s="175" customFormat="1" ht="11.25" outlineLevel="1">
      <c r="A55" s="218" t="s">
        <v>253</v>
      </c>
      <c r="B55" s="183"/>
      <c r="C55" s="184"/>
      <c r="D55" s="184"/>
      <c r="E55" s="185"/>
      <c r="F55" s="180"/>
      <c r="G55" s="181"/>
      <c r="H55" s="181"/>
      <c r="I55" s="181"/>
      <c r="J55" s="181"/>
      <c r="K55" s="181"/>
      <c r="L55" s="181"/>
      <c r="M55" s="181"/>
      <c r="N55" s="181"/>
      <c r="O55" s="181"/>
      <c r="P55" s="181"/>
      <c r="Q55" s="181"/>
      <c r="R55" s="182">
        <f t="shared" si="16"/>
        <v>0</v>
      </c>
    </row>
    <row r="56" spans="1:18" s="175" customFormat="1" ht="11.25" outlineLevel="1">
      <c r="A56" s="218" t="s">
        <v>254</v>
      </c>
      <c r="B56" s="183"/>
      <c r="C56" s="184"/>
      <c r="D56" s="184"/>
      <c r="E56" s="185"/>
      <c r="F56" s="180"/>
      <c r="G56" s="181"/>
      <c r="H56" s="181"/>
      <c r="I56" s="181"/>
      <c r="J56" s="181"/>
      <c r="K56" s="181"/>
      <c r="L56" s="181"/>
      <c r="M56" s="181"/>
      <c r="N56" s="181"/>
      <c r="O56" s="181"/>
      <c r="P56" s="181"/>
      <c r="Q56" s="181"/>
      <c r="R56" s="182">
        <f t="shared" si="16"/>
        <v>0</v>
      </c>
    </row>
    <row r="57" spans="1:18" s="175" customFormat="1" ht="11.25" outlineLevel="1">
      <c r="A57" s="218" t="s">
        <v>255</v>
      </c>
      <c r="B57" s="183"/>
      <c r="C57" s="184"/>
      <c r="D57" s="184"/>
      <c r="E57" s="185"/>
      <c r="F57" s="180"/>
      <c r="G57" s="181"/>
      <c r="H57" s="181"/>
      <c r="I57" s="181"/>
      <c r="J57" s="181"/>
      <c r="K57" s="181"/>
      <c r="L57" s="181"/>
      <c r="M57" s="181"/>
      <c r="N57" s="181"/>
      <c r="O57" s="181"/>
      <c r="P57" s="181"/>
      <c r="Q57" s="181"/>
      <c r="R57" s="182">
        <f t="shared" si="16"/>
        <v>0</v>
      </c>
    </row>
    <row r="58" spans="1:18" s="175" customFormat="1" ht="11.25" outlineLevel="1">
      <c r="A58" s="221" t="s">
        <v>256</v>
      </c>
      <c r="B58" s="201"/>
      <c r="C58" s="202"/>
      <c r="D58" s="202"/>
      <c r="E58" s="203"/>
      <c r="F58" s="204" t="e">
        <f t="shared" ref="F58:Q58" si="17">(F48+G48)/2*F$3</f>
        <v>#REF!</v>
      </c>
      <c r="G58" s="204" t="e">
        <f t="shared" si="17"/>
        <v>#REF!</v>
      </c>
      <c r="H58" s="204" t="e">
        <f t="shared" si="17"/>
        <v>#REF!</v>
      </c>
      <c r="I58" s="204" t="e">
        <f t="shared" si="17"/>
        <v>#REF!</v>
      </c>
      <c r="J58" s="204" t="e">
        <f t="shared" si="17"/>
        <v>#REF!</v>
      </c>
      <c r="K58" s="204" t="e">
        <f t="shared" si="17"/>
        <v>#REF!</v>
      </c>
      <c r="L58" s="204" t="e">
        <f t="shared" si="17"/>
        <v>#REF!</v>
      </c>
      <c r="M58" s="204" t="e">
        <f>(M48+N48)/2*M$3</f>
        <v>#REF!</v>
      </c>
      <c r="N58" s="204" t="e">
        <f t="shared" si="17"/>
        <v>#REF!</v>
      </c>
      <c r="O58" s="204" t="e">
        <f t="shared" si="17"/>
        <v>#REF!</v>
      </c>
      <c r="P58" s="204" t="e">
        <f t="shared" si="17"/>
        <v>#REF!</v>
      </c>
      <c r="Q58" s="204" t="e">
        <f t="shared" si="17"/>
        <v>#REF!</v>
      </c>
      <c r="R58" s="205" t="e">
        <f t="shared" si="16"/>
        <v>#REF!</v>
      </c>
    </row>
    <row r="59" spans="1:18" s="175" customFormat="1" ht="12" outlineLevel="1" thickBot="1">
      <c r="A59" s="206" t="s">
        <v>257</v>
      </c>
      <c r="B59" s="207"/>
      <c r="C59" s="207"/>
      <c r="D59" s="208"/>
      <c r="E59" s="207"/>
      <c r="F59" s="209" t="e">
        <f t="shared" ref="F59:R59" si="18">F58/F$3</f>
        <v>#REF!</v>
      </c>
      <c r="G59" s="210" t="e">
        <f t="shared" si="18"/>
        <v>#REF!</v>
      </c>
      <c r="H59" s="210" t="e">
        <f t="shared" si="18"/>
        <v>#REF!</v>
      </c>
      <c r="I59" s="210" t="e">
        <f t="shared" si="18"/>
        <v>#REF!</v>
      </c>
      <c r="J59" s="210" t="e">
        <f t="shared" si="18"/>
        <v>#REF!</v>
      </c>
      <c r="K59" s="210" t="e">
        <f t="shared" si="18"/>
        <v>#REF!</v>
      </c>
      <c r="L59" s="210" t="e">
        <f t="shared" si="18"/>
        <v>#REF!</v>
      </c>
      <c r="M59" s="210" t="e">
        <f t="shared" si="18"/>
        <v>#REF!</v>
      </c>
      <c r="N59" s="210" t="e">
        <f t="shared" si="18"/>
        <v>#REF!</v>
      </c>
      <c r="O59" s="210" t="e">
        <f t="shared" si="18"/>
        <v>#REF!</v>
      </c>
      <c r="P59" s="210" t="e">
        <f t="shared" si="18"/>
        <v>#REF!</v>
      </c>
      <c r="Q59" s="210" t="e">
        <f t="shared" si="18"/>
        <v>#REF!</v>
      </c>
      <c r="R59" s="211" t="e">
        <f t="shared" si="18"/>
        <v>#REF!</v>
      </c>
    </row>
    <row r="60" spans="1:18" s="151" customFormat="1" ht="12" thickBot="1">
      <c r="A60" s="160" t="s">
        <v>263</v>
      </c>
      <c r="B60" s="161"/>
      <c r="C60" s="161"/>
      <c r="D60" s="161"/>
      <c r="E60" s="161"/>
      <c r="F60" s="161"/>
      <c r="G60" s="161"/>
      <c r="H60" s="161"/>
      <c r="I60" s="161"/>
      <c r="J60" s="161"/>
      <c r="K60" s="161"/>
      <c r="L60" s="161"/>
      <c r="M60" s="161"/>
      <c r="N60" s="161"/>
      <c r="O60" s="161"/>
      <c r="P60" s="161"/>
      <c r="Q60" s="161"/>
      <c r="R60" s="162"/>
    </row>
    <row r="61" spans="1:18" s="151" customFormat="1" ht="12" outlineLevel="1" thickBot="1">
      <c r="A61" s="163" t="s">
        <v>245</v>
      </c>
      <c r="B61" s="164"/>
      <c r="C61" s="164"/>
      <c r="D61" s="165"/>
      <c r="E61" s="166"/>
      <c r="F61" s="164"/>
      <c r="G61" s="164"/>
      <c r="H61" s="164"/>
      <c r="I61" s="164"/>
      <c r="J61" s="164"/>
      <c r="K61" s="164"/>
      <c r="L61" s="164"/>
      <c r="M61" s="164"/>
      <c r="N61" s="164"/>
      <c r="O61" s="164"/>
      <c r="P61" s="164"/>
      <c r="Q61" s="164"/>
      <c r="R61" s="167"/>
    </row>
    <row r="62" spans="1:18" s="175" customFormat="1" ht="11.25" outlineLevel="1">
      <c r="A62" s="168" t="s">
        <v>262</v>
      </c>
      <c r="B62" s="169" t="e">
        <f>+#REF!</f>
        <v>#REF!</v>
      </c>
      <c r="C62" s="169"/>
      <c r="D62" s="213" t="e">
        <f>B62*0.35</f>
        <v>#REF!</v>
      </c>
      <c r="E62" s="171" t="e">
        <f>B62*60</f>
        <v>#REF!</v>
      </c>
      <c r="F62" s="172" t="e">
        <f>B62</f>
        <v>#REF!</v>
      </c>
      <c r="G62" s="173" t="e">
        <f t="shared" ref="G62:R62" si="19">(F62+F63+F64+F65-F67-F68-F69-F70-F71)</f>
        <v>#REF!</v>
      </c>
      <c r="H62" s="173" t="e">
        <f t="shared" si="19"/>
        <v>#REF!</v>
      </c>
      <c r="I62" s="173" t="e">
        <f t="shared" si="19"/>
        <v>#REF!</v>
      </c>
      <c r="J62" s="173" t="e">
        <f t="shared" si="19"/>
        <v>#REF!</v>
      </c>
      <c r="K62" s="173" t="e">
        <f t="shared" si="19"/>
        <v>#REF!</v>
      </c>
      <c r="L62" s="173" t="e">
        <f t="shared" si="19"/>
        <v>#REF!</v>
      </c>
      <c r="M62" s="173" t="e">
        <f t="shared" si="19"/>
        <v>#REF!</v>
      </c>
      <c r="N62" s="173" t="e">
        <f t="shared" si="19"/>
        <v>#REF!</v>
      </c>
      <c r="O62" s="173" t="e">
        <f t="shared" si="19"/>
        <v>#REF!</v>
      </c>
      <c r="P62" s="173" t="e">
        <f t="shared" si="19"/>
        <v>#REF!</v>
      </c>
      <c r="Q62" s="173" t="e">
        <f t="shared" si="19"/>
        <v>#REF!</v>
      </c>
      <c r="R62" s="174" t="e">
        <f t="shared" si="19"/>
        <v>#REF!</v>
      </c>
    </row>
    <row r="63" spans="1:18" s="175" customFormat="1" ht="11.25" outlineLevel="1">
      <c r="A63" s="176" t="s">
        <v>247</v>
      </c>
      <c r="B63" s="177"/>
      <c r="C63" s="178"/>
      <c r="D63" s="178"/>
      <c r="E63" s="179"/>
      <c r="F63" s="227">
        <f>F81</f>
        <v>0</v>
      </c>
      <c r="G63" s="227">
        <f t="shared" ref="G63:Q63" si="20">G81</f>
        <v>0</v>
      </c>
      <c r="H63" s="227">
        <f t="shared" si="20"/>
        <v>0</v>
      </c>
      <c r="I63" s="227">
        <f t="shared" si="20"/>
        <v>0</v>
      </c>
      <c r="J63" s="227">
        <f t="shared" si="20"/>
        <v>0</v>
      </c>
      <c r="K63" s="227">
        <f t="shared" si="20"/>
        <v>0</v>
      </c>
      <c r="L63" s="227">
        <f t="shared" si="20"/>
        <v>0</v>
      </c>
      <c r="M63" s="227">
        <f t="shared" si="20"/>
        <v>0</v>
      </c>
      <c r="N63" s="227">
        <f t="shared" si="20"/>
        <v>0</v>
      </c>
      <c r="O63" s="227">
        <f>O81</f>
        <v>0</v>
      </c>
      <c r="P63" s="227">
        <f t="shared" si="20"/>
        <v>0</v>
      </c>
      <c r="Q63" s="227" t="e">
        <f t="shared" si="20"/>
        <v>#REF!</v>
      </c>
      <c r="R63" s="182" t="e">
        <f t="shared" ref="R63:R72" si="21">SUM(F63:Q63)</f>
        <v>#REF!</v>
      </c>
    </row>
    <row r="64" spans="1:18" s="175" customFormat="1" ht="11.25" outlineLevel="1">
      <c r="A64" s="176" t="s">
        <v>248</v>
      </c>
      <c r="B64" s="183"/>
      <c r="C64" s="184"/>
      <c r="D64" s="184"/>
      <c r="E64" s="185"/>
      <c r="F64" s="227"/>
      <c r="G64" s="181"/>
      <c r="H64" s="181"/>
      <c r="I64" s="181"/>
      <c r="J64" s="181"/>
      <c r="K64" s="181"/>
      <c r="L64" s="181"/>
      <c r="M64" s="181"/>
      <c r="N64" s="181"/>
      <c r="O64" s="181"/>
      <c r="P64" s="181"/>
      <c r="Q64" s="181"/>
      <c r="R64" s="182">
        <f t="shared" si="21"/>
        <v>0</v>
      </c>
    </row>
    <row r="65" spans="1:18" s="175" customFormat="1" ht="12" outlineLevel="1" thickBot="1">
      <c r="A65" s="186" t="s">
        <v>249</v>
      </c>
      <c r="B65" s="183"/>
      <c r="C65" s="184"/>
      <c r="D65" s="184"/>
      <c r="E65" s="185"/>
      <c r="F65" s="188"/>
      <c r="G65" s="188"/>
      <c r="H65" s="188"/>
      <c r="I65" s="188"/>
      <c r="J65" s="188"/>
      <c r="K65" s="188"/>
      <c r="L65" s="188"/>
      <c r="M65" s="188"/>
      <c r="N65" s="188"/>
      <c r="O65" s="188"/>
      <c r="P65" s="188"/>
      <c r="Q65" s="188"/>
      <c r="R65" s="189">
        <f t="shared" si="21"/>
        <v>0</v>
      </c>
    </row>
    <row r="66" spans="1:18" s="175" customFormat="1" ht="12" outlineLevel="1" thickBot="1">
      <c r="A66" s="190" t="s">
        <v>250</v>
      </c>
      <c r="B66" s="183"/>
      <c r="C66" s="184"/>
      <c r="D66" s="184"/>
      <c r="E66" s="185"/>
      <c r="F66" s="228"/>
      <c r="G66" s="228"/>
      <c r="H66" s="228"/>
      <c r="I66" s="228"/>
      <c r="J66" s="228"/>
      <c r="K66" s="228"/>
      <c r="L66" s="228"/>
      <c r="M66" s="228"/>
      <c r="N66" s="228"/>
      <c r="O66" s="228"/>
      <c r="P66" s="228"/>
      <c r="Q66" s="228"/>
      <c r="R66" s="192">
        <f t="shared" si="21"/>
        <v>0</v>
      </c>
    </row>
    <row r="67" spans="1:18" s="175" customFormat="1" ht="11.25" outlineLevel="1">
      <c r="A67" s="193" t="s">
        <v>251</v>
      </c>
      <c r="B67" s="183"/>
      <c r="C67" s="184"/>
      <c r="D67" s="184"/>
      <c r="E67" s="185"/>
      <c r="F67" s="229"/>
      <c r="G67" s="220"/>
      <c r="H67" s="220" t="e">
        <f>+H62</f>
        <v>#REF!</v>
      </c>
      <c r="I67" s="220"/>
      <c r="J67" s="220"/>
      <c r="K67" s="220"/>
      <c r="L67" s="220"/>
      <c r="M67" s="220"/>
      <c r="N67" s="220"/>
      <c r="O67" s="220"/>
      <c r="P67" s="220"/>
      <c r="Q67" s="220"/>
      <c r="R67" s="196" t="e">
        <f t="shared" si="21"/>
        <v>#REF!</v>
      </c>
    </row>
    <row r="68" spans="1:18" s="175" customFormat="1" ht="22.5" customHeight="1" outlineLevel="1">
      <c r="A68" s="197" t="s">
        <v>252</v>
      </c>
      <c r="B68" s="183"/>
      <c r="C68" s="184"/>
      <c r="D68" s="184"/>
      <c r="E68" s="185"/>
      <c r="F68" s="227"/>
      <c r="G68" s="181"/>
      <c r="H68" s="181"/>
      <c r="I68" s="181"/>
      <c r="J68" s="181"/>
      <c r="K68" s="181"/>
      <c r="L68" s="181"/>
      <c r="M68" s="181"/>
      <c r="N68" s="181"/>
      <c r="O68" s="181"/>
      <c r="P68" s="181"/>
      <c r="Q68" s="181"/>
      <c r="R68" s="182">
        <f t="shared" si="21"/>
        <v>0</v>
      </c>
    </row>
    <row r="69" spans="1:18" s="175" customFormat="1" ht="11.25" outlineLevel="1">
      <c r="A69" s="197" t="s">
        <v>253</v>
      </c>
      <c r="B69" s="183"/>
      <c r="C69" s="184"/>
      <c r="D69" s="184"/>
      <c r="E69" s="185"/>
      <c r="F69" s="227"/>
      <c r="G69" s="181"/>
      <c r="H69" s="181"/>
      <c r="I69" s="181"/>
      <c r="J69" s="181"/>
      <c r="K69" s="181"/>
      <c r="L69" s="181"/>
      <c r="M69" s="181"/>
      <c r="N69" s="181"/>
      <c r="O69" s="181"/>
      <c r="P69" s="181"/>
      <c r="Q69" s="181"/>
      <c r="R69" s="182">
        <f t="shared" si="21"/>
        <v>0</v>
      </c>
    </row>
    <row r="70" spans="1:18" s="175" customFormat="1" ht="11.25" outlineLevel="1">
      <c r="A70" s="197" t="s">
        <v>254</v>
      </c>
      <c r="B70" s="183"/>
      <c r="C70" s="184"/>
      <c r="D70" s="184"/>
      <c r="E70" s="185"/>
      <c r="F70" s="227"/>
      <c r="G70" s="181"/>
      <c r="H70" s="181"/>
      <c r="I70" s="181"/>
      <c r="J70" s="181"/>
      <c r="K70" s="181"/>
      <c r="L70" s="181"/>
      <c r="M70" s="181"/>
      <c r="N70" s="181"/>
      <c r="O70" s="181"/>
      <c r="P70" s="181"/>
      <c r="Q70" s="181"/>
      <c r="R70" s="182">
        <f t="shared" si="21"/>
        <v>0</v>
      </c>
    </row>
    <row r="71" spans="1:18" s="175" customFormat="1" ht="11.25" outlineLevel="1">
      <c r="A71" s="197" t="s">
        <v>255</v>
      </c>
      <c r="B71" s="183"/>
      <c r="C71" s="184"/>
      <c r="D71" s="184"/>
      <c r="E71" s="185"/>
      <c r="F71" s="227"/>
      <c r="G71" s="181"/>
      <c r="H71" s="181"/>
      <c r="I71" s="181"/>
      <c r="J71" s="181"/>
      <c r="K71" s="181"/>
      <c r="L71" s="181"/>
      <c r="M71" s="181"/>
      <c r="N71" s="181"/>
      <c r="O71" s="181"/>
      <c r="P71" s="181"/>
      <c r="Q71" s="181"/>
      <c r="R71" s="182">
        <f t="shared" si="21"/>
        <v>0</v>
      </c>
    </row>
    <row r="72" spans="1:18" s="175" customFormat="1" ht="11.25" outlineLevel="1">
      <c r="A72" s="200" t="s">
        <v>256</v>
      </c>
      <c r="B72" s="201"/>
      <c r="C72" s="202"/>
      <c r="D72" s="202"/>
      <c r="E72" s="203"/>
      <c r="F72" s="204" t="e">
        <f t="shared" ref="F72:Q72" si="22">(F62+G62)/2*F$3</f>
        <v>#REF!</v>
      </c>
      <c r="G72" s="204" t="e">
        <f t="shared" si="22"/>
        <v>#REF!</v>
      </c>
      <c r="H72" s="204" t="e">
        <f t="shared" si="22"/>
        <v>#REF!</v>
      </c>
      <c r="I72" s="204" t="e">
        <f t="shared" si="22"/>
        <v>#REF!</v>
      </c>
      <c r="J72" s="204" t="e">
        <f t="shared" si="22"/>
        <v>#REF!</v>
      </c>
      <c r="K72" s="204" t="e">
        <f t="shared" si="22"/>
        <v>#REF!</v>
      </c>
      <c r="L72" s="204" t="e">
        <f t="shared" si="22"/>
        <v>#REF!</v>
      </c>
      <c r="M72" s="204" t="e">
        <f t="shared" si="22"/>
        <v>#REF!</v>
      </c>
      <c r="N72" s="204" t="e">
        <f t="shared" si="22"/>
        <v>#REF!</v>
      </c>
      <c r="O72" s="204" t="e">
        <f t="shared" si="22"/>
        <v>#REF!</v>
      </c>
      <c r="P72" s="204" t="e">
        <f t="shared" si="22"/>
        <v>#REF!</v>
      </c>
      <c r="Q72" s="204" t="e">
        <f t="shared" si="22"/>
        <v>#REF!</v>
      </c>
      <c r="R72" s="205" t="e">
        <f t="shared" si="21"/>
        <v>#REF!</v>
      </c>
    </row>
    <row r="73" spans="1:18" s="175" customFormat="1" ht="12" outlineLevel="1" thickBot="1">
      <c r="A73" s="206" t="s">
        <v>257</v>
      </c>
      <c r="B73" s="207"/>
      <c r="C73" s="207"/>
      <c r="D73" s="208"/>
      <c r="E73" s="207"/>
      <c r="F73" s="209" t="e">
        <f t="shared" ref="F73:R73" si="23">F72/F$3</f>
        <v>#REF!</v>
      </c>
      <c r="G73" s="210" t="e">
        <f t="shared" si="23"/>
        <v>#REF!</v>
      </c>
      <c r="H73" s="210" t="e">
        <f t="shared" si="23"/>
        <v>#REF!</v>
      </c>
      <c r="I73" s="210" t="e">
        <f t="shared" si="23"/>
        <v>#REF!</v>
      </c>
      <c r="J73" s="210" t="e">
        <f t="shared" si="23"/>
        <v>#REF!</v>
      </c>
      <c r="K73" s="210" t="e">
        <f t="shared" si="23"/>
        <v>#REF!</v>
      </c>
      <c r="L73" s="210" t="e">
        <f t="shared" si="23"/>
        <v>#REF!</v>
      </c>
      <c r="M73" s="210" t="e">
        <f t="shared" si="23"/>
        <v>#REF!</v>
      </c>
      <c r="N73" s="210" t="e">
        <f t="shared" si="23"/>
        <v>#REF!</v>
      </c>
      <c r="O73" s="210" t="e">
        <f t="shared" si="23"/>
        <v>#REF!</v>
      </c>
      <c r="P73" s="210" t="e">
        <f t="shared" si="23"/>
        <v>#REF!</v>
      </c>
      <c r="Q73" s="210" t="e">
        <f t="shared" si="23"/>
        <v>#REF!</v>
      </c>
      <c r="R73" s="211" t="e">
        <f t="shared" si="23"/>
        <v>#REF!</v>
      </c>
    </row>
    <row r="74" spans="1:18" s="151" customFormat="1" ht="12" thickBot="1">
      <c r="A74" s="160" t="s">
        <v>264</v>
      </c>
      <c r="B74" s="161"/>
      <c r="C74" s="161"/>
      <c r="D74" s="161"/>
      <c r="E74" s="161"/>
      <c r="F74" s="161"/>
      <c r="G74" s="161"/>
      <c r="H74" s="161"/>
      <c r="I74" s="161"/>
      <c r="J74" s="161"/>
      <c r="K74" s="161"/>
      <c r="L74" s="161"/>
      <c r="M74" s="161"/>
      <c r="N74" s="161"/>
      <c r="O74" s="161"/>
      <c r="P74" s="161"/>
      <c r="Q74" s="161"/>
      <c r="R74" s="162"/>
    </row>
    <row r="75" spans="1:18" s="151" customFormat="1" ht="12" outlineLevel="1" thickBot="1">
      <c r="A75" s="163"/>
      <c r="B75" s="164"/>
      <c r="C75" s="164"/>
      <c r="D75" s="165"/>
      <c r="E75" s="166"/>
      <c r="F75" s="164"/>
      <c r="G75" s="164"/>
      <c r="H75" s="164"/>
      <c r="I75" s="164"/>
      <c r="J75" s="164"/>
      <c r="K75" s="164"/>
      <c r="L75" s="164"/>
      <c r="M75" s="164"/>
      <c r="N75" s="164"/>
      <c r="O75" s="164"/>
      <c r="P75" s="164"/>
      <c r="Q75" s="164"/>
      <c r="R75" s="167"/>
    </row>
    <row r="76" spans="1:18" s="175" customFormat="1" ht="11.25" outlineLevel="1">
      <c r="A76" s="168" t="s">
        <v>262</v>
      </c>
      <c r="B76" s="212" t="e">
        <f>+#REF!</f>
        <v>#REF!</v>
      </c>
      <c r="C76" s="212"/>
      <c r="D76" s="213" t="e">
        <f>B76*0.28</f>
        <v>#REF!</v>
      </c>
      <c r="E76" s="171" t="e">
        <f>+D76*270</f>
        <v>#REF!</v>
      </c>
      <c r="F76" s="172" t="e">
        <f>B76</f>
        <v>#REF!</v>
      </c>
      <c r="G76" s="173" t="e">
        <f t="shared" ref="G76:R76" si="24">(F76+F77+F78+F79-F81-F82-F83-F84-F85)</f>
        <v>#REF!</v>
      </c>
      <c r="H76" s="173" t="e">
        <f t="shared" si="24"/>
        <v>#REF!</v>
      </c>
      <c r="I76" s="173" t="e">
        <f t="shared" si="24"/>
        <v>#REF!</v>
      </c>
      <c r="J76" s="173" t="e">
        <f t="shared" si="24"/>
        <v>#REF!</v>
      </c>
      <c r="K76" s="173" t="e">
        <f t="shared" si="24"/>
        <v>#REF!</v>
      </c>
      <c r="L76" s="173" t="e">
        <f t="shared" si="24"/>
        <v>#REF!</v>
      </c>
      <c r="M76" s="173" t="e">
        <f t="shared" si="24"/>
        <v>#REF!</v>
      </c>
      <c r="N76" s="173" t="e">
        <f t="shared" si="24"/>
        <v>#REF!</v>
      </c>
      <c r="O76" s="173" t="e">
        <f t="shared" si="24"/>
        <v>#REF!</v>
      </c>
      <c r="P76" s="173" t="e">
        <f t="shared" si="24"/>
        <v>#REF!</v>
      </c>
      <c r="Q76" s="173" t="e">
        <f t="shared" si="24"/>
        <v>#REF!</v>
      </c>
      <c r="R76" s="174" t="e">
        <f t="shared" si="24"/>
        <v>#REF!</v>
      </c>
    </row>
    <row r="77" spans="1:18" s="175" customFormat="1" ht="11.25" outlineLevel="1">
      <c r="A77" s="214" t="s">
        <v>247</v>
      </c>
      <c r="B77" s="177"/>
      <c r="C77" s="178"/>
      <c r="D77" s="178"/>
      <c r="E77" s="179"/>
      <c r="F77" s="180">
        <f>F95</f>
        <v>0</v>
      </c>
      <c r="G77" s="180">
        <f t="shared" ref="G77:Q77" si="25">G95</f>
        <v>0</v>
      </c>
      <c r="H77" s="180">
        <f t="shared" si="25"/>
        <v>0</v>
      </c>
      <c r="I77" s="180">
        <f t="shared" si="25"/>
        <v>0</v>
      </c>
      <c r="J77" s="180">
        <f t="shared" si="25"/>
        <v>0</v>
      </c>
      <c r="K77" s="180">
        <f t="shared" si="25"/>
        <v>0</v>
      </c>
      <c r="L77" s="180">
        <f t="shared" si="25"/>
        <v>0</v>
      </c>
      <c r="M77" s="180">
        <f t="shared" si="25"/>
        <v>0</v>
      </c>
      <c r="N77" s="180">
        <f t="shared" si="25"/>
        <v>0</v>
      </c>
      <c r="O77" s="180">
        <f t="shared" si="25"/>
        <v>0</v>
      </c>
      <c r="P77" s="180">
        <f t="shared" si="25"/>
        <v>0</v>
      </c>
      <c r="Q77" s="180" t="e">
        <f t="shared" si="25"/>
        <v>#REF!</v>
      </c>
      <c r="R77" s="182" t="e">
        <f t="shared" ref="R77:R86" si="26">SUM(F77:Q77)</f>
        <v>#REF!</v>
      </c>
    </row>
    <row r="78" spans="1:18" s="175" customFormat="1" ht="11.25" outlineLevel="1">
      <c r="A78" s="214" t="s">
        <v>248</v>
      </c>
      <c r="B78" s="183"/>
      <c r="C78" s="184"/>
      <c r="D78" s="184"/>
      <c r="E78" s="185"/>
      <c r="F78" s="180"/>
      <c r="G78" s="181"/>
      <c r="H78" s="181"/>
      <c r="I78" s="181"/>
      <c r="J78" s="181"/>
      <c r="K78" s="181"/>
      <c r="L78" s="181"/>
      <c r="M78" s="181"/>
      <c r="N78" s="181"/>
      <c r="O78" s="181"/>
      <c r="P78" s="181"/>
      <c r="Q78" s="181"/>
      <c r="R78" s="182">
        <f t="shared" si="26"/>
        <v>0</v>
      </c>
    </row>
    <row r="79" spans="1:18" s="175" customFormat="1" ht="12" outlineLevel="1" thickBot="1">
      <c r="A79" s="215" t="s">
        <v>249</v>
      </c>
      <c r="B79" s="183"/>
      <c r="C79" s="184"/>
      <c r="D79" s="184"/>
      <c r="E79" s="185"/>
      <c r="F79" s="187"/>
      <c r="G79" s="188"/>
      <c r="H79" s="188"/>
      <c r="I79" s="188"/>
      <c r="J79" s="188"/>
      <c r="K79" s="188"/>
      <c r="L79" s="188"/>
      <c r="M79" s="188"/>
      <c r="N79" s="188"/>
      <c r="O79" s="188"/>
      <c r="P79" s="188"/>
      <c r="Q79" s="188"/>
      <c r="R79" s="189">
        <f t="shared" si="26"/>
        <v>0</v>
      </c>
    </row>
    <row r="80" spans="1:18" s="151" customFormat="1" ht="12" outlineLevel="1" thickBot="1">
      <c r="A80" s="216" t="s">
        <v>250</v>
      </c>
      <c r="B80" s="183"/>
      <c r="C80" s="184"/>
      <c r="D80" s="184"/>
      <c r="E80" s="185"/>
      <c r="F80" s="191"/>
      <c r="G80" s="164"/>
      <c r="H80" s="164"/>
      <c r="I80" s="164"/>
      <c r="J80" s="164"/>
      <c r="K80" s="164"/>
      <c r="L80" s="164"/>
      <c r="M80" s="164"/>
      <c r="N80" s="164"/>
      <c r="O80" s="164"/>
      <c r="P80" s="164"/>
      <c r="Q80" s="164"/>
      <c r="R80" s="192">
        <f t="shared" si="26"/>
        <v>0</v>
      </c>
    </row>
    <row r="81" spans="1:18" s="175" customFormat="1" ht="11.25" outlineLevel="1">
      <c r="A81" s="217" t="s">
        <v>251</v>
      </c>
      <c r="B81" s="183"/>
      <c r="C81" s="184"/>
      <c r="D81" s="184"/>
      <c r="E81" s="185"/>
      <c r="F81" s="219"/>
      <c r="G81" s="220"/>
      <c r="H81" s="220"/>
      <c r="I81" s="220"/>
      <c r="J81" s="220"/>
      <c r="K81" s="220"/>
      <c r="L81" s="220"/>
      <c r="M81" s="220"/>
      <c r="N81" s="220"/>
      <c r="O81" s="220"/>
      <c r="P81" s="220"/>
      <c r="Q81" s="220" t="e">
        <f>Q76</f>
        <v>#REF!</v>
      </c>
      <c r="R81" s="196" t="e">
        <f t="shared" si="26"/>
        <v>#REF!</v>
      </c>
    </row>
    <row r="82" spans="1:18" s="175" customFormat="1" ht="11.25" outlineLevel="1">
      <c r="A82" s="218" t="s">
        <v>252</v>
      </c>
      <c r="B82" s="183"/>
      <c r="C82" s="184"/>
      <c r="D82" s="184"/>
      <c r="E82" s="185"/>
      <c r="F82" s="180"/>
      <c r="G82" s="181"/>
      <c r="H82" s="181"/>
      <c r="I82" s="181"/>
      <c r="J82" s="181"/>
      <c r="K82" s="181"/>
      <c r="L82" s="181"/>
      <c r="M82" s="181"/>
      <c r="N82" s="181"/>
      <c r="O82" s="181"/>
      <c r="P82" s="181"/>
      <c r="Q82" s="181"/>
      <c r="R82" s="182">
        <f t="shared" si="26"/>
        <v>0</v>
      </c>
    </row>
    <row r="83" spans="1:18" s="175" customFormat="1" ht="11.25" outlineLevel="1">
      <c r="A83" s="218" t="s">
        <v>253</v>
      </c>
      <c r="B83" s="183"/>
      <c r="C83" s="184"/>
      <c r="D83" s="184"/>
      <c r="E83" s="185"/>
      <c r="F83" s="180"/>
      <c r="G83" s="181"/>
      <c r="H83" s="181"/>
      <c r="I83" s="181"/>
      <c r="J83" s="181"/>
      <c r="K83" s="181"/>
      <c r="L83" s="181"/>
      <c r="M83" s="181"/>
      <c r="N83" s="181"/>
      <c r="O83" s="181"/>
      <c r="P83" s="181"/>
      <c r="Q83" s="181"/>
      <c r="R83" s="182">
        <f t="shared" si="26"/>
        <v>0</v>
      </c>
    </row>
    <row r="84" spans="1:18" s="175" customFormat="1" ht="11.25" outlineLevel="1">
      <c r="A84" s="218" t="s">
        <v>254</v>
      </c>
      <c r="B84" s="183"/>
      <c r="C84" s="184"/>
      <c r="D84" s="184"/>
      <c r="E84" s="185"/>
      <c r="F84" s="180"/>
      <c r="G84" s="181"/>
      <c r="H84" s="181"/>
      <c r="I84" s="181"/>
      <c r="J84" s="181"/>
      <c r="K84" s="181"/>
      <c r="L84" s="181"/>
      <c r="M84" s="181"/>
      <c r="N84" s="181"/>
      <c r="O84" s="181"/>
      <c r="P84" s="181"/>
      <c r="Q84" s="181"/>
      <c r="R84" s="182">
        <f t="shared" si="26"/>
        <v>0</v>
      </c>
    </row>
    <row r="85" spans="1:18" s="175" customFormat="1" ht="11.25" outlineLevel="1">
      <c r="A85" s="218" t="s">
        <v>255</v>
      </c>
      <c r="B85" s="183"/>
      <c r="C85" s="184"/>
      <c r="D85" s="184"/>
      <c r="E85" s="185"/>
      <c r="F85" s="180"/>
      <c r="G85" s="181"/>
      <c r="H85" s="181"/>
      <c r="I85" s="181"/>
      <c r="J85" s="181"/>
      <c r="K85" s="181"/>
      <c r="L85" s="181"/>
      <c r="M85" s="181"/>
      <c r="N85" s="181"/>
      <c r="O85" s="181"/>
      <c r="P85" s="181"/>
      <c r="Q85" s="181"/>
      <c r="R85" s="182">
        <f t="shared" si="26"/>
        <v>0</v>
      </c>
    </row>
    <row r="86" spans="1:18" s="175" customFormat="1" ht="11.25" outlineLevel="1">
      <c r="A86" s="221" t="s">
        <v>256</v>
      </c>
      <c r="B86" s="201"/>
      <c r="C86" s="202"/>
      <c r="D86" s="202"/>
      <c r="E86" s="203"/>
      <c r="F86" s="204" t="e">
        <f t="shared" ref="F86:Q86" si="27">(F76+G76)/2*F$3</f>
        <v>#REF!</v>
      </c>
      <c r="G86" s="204" t="e">
        <f t="shared" si="27"/>
        <v>#REF!</v>
      </c>
      <c r="H86" s="204" t="e">
        <f t="shared" si="27"/>
        <v>#REF!</v>
      </c>
      <c r="I86" s="204" t="e">
        <f t="shared" si="27"/>
        <v>#REF!</v>
      </c>
      <c r="J86" s="204" t="e">
        <f t="shared" si="27"/>
        <v>#REF!</v>
      </c>
      <c r="K86" s="204" t="e">
        <f t="shared" si="27"/>
        <v>#REF!</v>
      </c>
      <c r="L86" s="204" t="e">
        <f t="shared" si="27"/>
        <v>#REF!</v>
      </c>
      <c r="M86" s="204" t="e">
        <f t="shared" si="27"/>
        <v>#REF!</v>
      </c>
      <c r="N86" s="204" t="e">
        <f t="shared" si="27"/>
        <v>#REF!</v>
      </c>
      <c r="O86" s="204" t="e">
        <f t="shared" si="27"/>
        <v>#REF!</v>
      </c>
      <c r="P86" s="204" t="e">
        <f t="shared" si="27"/>
        <v>#REF!</v>
      </c>
      <c r="Q86" s="204" t="e">
        <f t="shared" si="27"/>
        <v>#REF!</v>
      </c>
      <c r="R86" s="205" t="e">
        <f t="shared" si="26"/>
        <v>#REF!</v>
      </c>
    </row>
    <row r="87" spans="1:18" s="175" customFormat="1" ht="12" outlineLevel="1" thickBot="1">
      <c r="A87" s="206" t="s">
        <v>257</v>
      </c>
      <c r="B87" s="207"/>
      <c r="C87" s="207"/>
      <c r="D87" s="208"/>
      <c r="E87" s="207"/>
      <c r="F87" s="209" t="e">
        <f t="shared" ref="F87:R87" si="28">F86/F$3</f>
        <v>#REF!</v>
      </c>
      <c r="G87" s="210" t="e">
        <f t="shared" si="28"/>
        <v>#REF!</v>
      </c>
      <c r="H87" s="210" t="e">
        <f t="shared" si="28"/>
        <v>#REF!</v>
      </c>
      <c r="I87" s="210" t="e">
        <f t="shared" si="28"/>
        <v>#REF!</v>
      </c>
      <c r="J87" s="210" t="e">
        <f t="shared" si="28"/>
        <v>#REF!</v>
      </c>
      <c r="K87" s="210" t="e">
        <f t="shared" si="28"/>
        <v>#REF!</v>
      </c>
      <c r="L87" s="210" t="e">
        <f t="shared" si="28"/>
        <v>#REF!</v>
      </c>
      <c r="M87" s="210" t="e">
        <f t="shared" si="28"/>
        <v>#REF!</v>
      </c>
      <c r="N87" s="210" t="e">
        <f t="shared" si="28"/>
        <v>#REF!</v>
      </c>
      <c r="O87" s="210" t="e">
        <f t="shared" si="28"/>
        <v>#REF!</v>
      </c>
      <c r="P87" s="210" t="e">
        <f t="shared" si="28"/>
        <v>#REF!</v>
      </c>
      <c r="Q87" s="210" t="e">
        <f t="shared" si="28"/>
        <v>#REF!</v>
      </c>
      <c r="R87" s="211" t="e">
        <f t="shared" si="28"/>
        <v>#REF!</v>
      </c>
    </row>
    <row r="88" spans="1:18" s="151" customFormat="1" ht="12" thickBot="1">
      <c r="A88" s="160" t="s">
        <v>265</v>
      </c>
      <c r="B88" s="161"/>
      <c r="C88" s="161"/>
      <c r="D88" s="161"/>
      <c r="E88" s="161"/>
      <c r="F88" s="161"/>
      <c r="G88" s="161"/>
      <c r="H88" s="161"/>
      <c r="I88" s="161"/>
      <c r="J88" s="161"/>
      <c r="K88" s="161"/>
      <c r="L88" s="161"/>
      <c r="M88" s="161"/>
      <c r="N88" s="161"/>
      <c r="O88" s="161"/>
      <c r="P88" s="161"/>
      <c r="Q88" s="161"/>
      <c r="R88" s="162"/>
    </row>
    <row r="89" spans="1:18" s="151" customFormat="1" ht="12" outlineLevel="1" thickBot="1">
      <c r="A89" s="163" t="s">
        <v>245</v>
      </c>
      <c r="B89" s="164"/>
      <c r="C89" s="164"/>
      <c r="D89" s="165"/>
      <c r="E89" s="166"/>
      <c r="F89" s="164"/>
      <c r="G89" s="164"/>
      <c r="H89" s="164"/>
      <c r="I89" s="164"/>
      <c r="J89" s="164"/>
      <c r="K89" s="164"/>
      <c r="L89" s="164"/>
      <c r="M89" s="164"/>
      <c r="N89" s="164"/>
      <c r="O89" s="164"/>
      <c r="P89" s="164"/>
      <c r="Q89" s="164"/>
      <c r="R89" s="167"/>
    </row>
    <row r="90" spans="1:18" s="175" customFormat="1" ht="11.25" outlineLevel="1">
      <c r="A90" s="168" t="s">
        <v>259</v>
      </c>
      <c r="B90" s="212" t="e">
        <f>+#REF!</f>
        <v>#REF!</v>
      </c>
      <c r="C90" s="212"/>
      <c r="D90" s="213" t="e">
        <f>B90*0.265</f>
        <v>#REF!</v>
      </c>
      <c r="E90" s="171" t="e">
        <f>+D90*270</f>
        <v>#REF!</v>
      </c>
      <c r="F90" s="172" t="e">
        <f>B90</f>
        <v>#REF!</v>
      </c>
      <c r="G90" s="173" t="e">
        <f t="shared" ref="G90:R90" si="29">(F90+F91+F92+F93-F95-F96-F97-F98-F99)</f>
        <v>#REF!</v>
      </c>
      <c r="H90" s="173" t="e">
        <f t="shared" si="29"/>
        <v>#REF!</v>
      </c>
      <c r="I90" s="173" t="e">
        <f t="shared" si="29"/>
        <v>#REF!</v>
      </c>
      <c r="J90" s="173" t="e">
        <f t="shared" si="29"/>
        <v>#REF!</v>
      </c>
      <c r="K90" s="173" t="e">
        <f t="shared" si="29"/>
        <v>#REF!</v>
      </c>
      <c r="L90" s="173" t="e">
        <f t="shared" si="29"/>
        <v>#REF!</v>
      </c>
      <c r="M90" s="173" t="e">
        <f t="shared" si="29"/>
        <v>#REF!</v>
      </c>
      <c r="N90" s="173" t="e">
        <f t="shared" si="29"/>
        <v>#REF!</v>
      </c>
      <c r="O90" s="173" t="e">
        <f t="shared" si="29"/>
        <v>#REF!</v>
      </c>
      <c r="P90" s="173" t="e">
        <f t="shared" si="29"/>
        <v>#REF!</v>
      </c>
      <c r="Q90" s="173" t="e">
        <f t="shared" si="29"/>
        <v>#REF!</v>
      </c>
      <c r="R90" s="174" t="e">
        <f t="shared" si="29"/>
        <v>#REF!</v>
      </c>
    </row>
    <row r="91" spans="1:18" s="175" customFormat="1" ht="11.25" outlineLevel="1">
      <c r="A91" s="214" t="s">
        <v>247</v>
      </c>
      <c r="B91" s="177"/>
      <c r="C91" s="178"/>
      <c r="D91" s="178"/>
      <c r="E91" s="179"/>
      <c r="F91" s="180">
        <f>F109</f>
        <v>0</v>
      </c>
      <c r="G91" s="180">
        <f>G109</f>
        <v>0</v>
      </c>
      <c r="H91" s="180">
        <f t="shared" ref="H91:Q91" si="30">H109</f>
        <v>0</v>
      </c>
      <c r="I91" s="180">
        <f t="shared" si="30"/>
        <v>0</v>
      </c>
      <c r="J91" s="180">
        <f t="shared" si="30"/>
        <v>0</v>
      </c>
      <c r="K91" s="180">
        <f t="shared" si="30"/>
        <v>0</v>
      </c>
      <c r="L91" s="180">
        <f t="shared" si="30"/>
        <v>0</v>
      </c>
      <c r="M91" s="180">
        <f t="shared" si="30"/>
        <v>0</v>
      </c>
      <c r="N91" s="180">
        <f t="shared" si="30"/>
        <v>0</v>
      </c>
      <c r="O91" s="180">
        <f t="shared" si="30"/>
        <v>0</v>
      </c>
      <c r="P91" s="180">
        <f t="shared" si="30"/>
        <v>0</v>
      </c>
      <c r="Q91" s="180" t="e">
        <f t="shared" si="30"/>
        <v>#REF!</v>
      </c>
      <c r="R91" s="182" t="e">
        <f t="shared" ref="R91:R100" si="31">SUM(F91:Q91)</f>
        <v>#REF!</v>
      </c>
    </row>
    <row r="92" spans="1:18" s="175" customFormat="1" ht="11.25" outlineLevel="1">
      <c r="A92" s="214" t="s">
        <v>248</v>
      </c>
      <c r="B92" s="183"/>
      <c r="C92" s="184"/>
      <c r="D92" s="184"/>
      <c r="E92" s="185"/>
      <c r="F92" s="180"/>
      <c r="G92" s="181"/>
      <c r="H92" s="181"/>
      <c r="I92" s="181"/>
      <c r="J92" s="181"/>
      <c r="K92" s="181"/>
      <c r="L92" s="181"/>
      <c r="M92" s="181"/>
      <c r="N92" s="181"/>
      <c r="O92" s="181"/>
      <c r="P92" s="181"/>
      <c r="Q92" s="181"/>
      <c r="R92" s="182">
        <f t="shared" si="31"/>
        <v>0</v>
      </c>
    </row>
    <row r="93" spans="1:18" s="175" customFormat="1" ht="12" outlineLevel="1" thickBot="1">
      <c r="A93" s="215" t="s">
        <v>249</v>
      </c>
      <c r="B93" s="183"/>
      <c r="C93" s="184"/>
      <c r="D93" s="184"/>
      <c r="E93" s="185"/>
      <c r="F93" s="187"/>
      <c r="G93" s="188"/>
      <c r="H93" s="188"/>
      <c r="I93" s="188"/>
      <c r="J93" s="188"/>
      <c r="K93" s="188"/>
      <c r="L93" s="188"/>
      <c r="M93" s="188"/>
      <c r="N93" s="188"/>
      <c r="O93" s="188"/>
      <c r="P93" s="188"/>
      <c r="Q93" s="188"/>
      <c r="R93" s="189">
        <f t="shared" si="31"/>
        <v>0</v>
      </c>
    </row>
    <row r="94" spans="1:18" s="151" customFormat="1" ht="12" outlineLevel="1" thickBot="1">
      <c r="A94" s="216" t="s">
        <v>250</v>
      </c>
      <c r="B94" s="183"/>
      <c r="C94" s="184"/>
      <c r="D94" s="184"/>
      <c r="E94" s="185"/>
      <c r="F94" s="191"/>
      <c r="G94" s="164"/>
      <c r="H94" s="164"/>
      <c r="I94" s="164"/>
      <c r="J94" s="164"/>
      <c r="K94" s="164"/>
      <c r="L94" s="164"/>
      <c r="M94" s="164"/>
      <c r="N94" s="164"/>
      <c r="O94" s="164"/>
      <c r="P94" s="164"/>
      <c r="Q94" s="164"/>
      <c r="R94" s="192">
        <f t="shared" si="31"/>
        <v>0</v>
      </c>
    </row>
    <row r="95" spans="1:18" s="175" customFormat="1" ht="11.25" outlineLevel="1">
      <c r="A95" s="217" t="s">
        <v>251</v>
      </c>
      <c r="B95" s="183"/>
      <c r="C95" s="184"/>
      <c r="D95" s="184"/>
      <c r="E95" s="185"/>
      <c r="F95" s="219"/>
      <c r="G95" s="220"/>
      <c r="H95" s="220"/>
      <c r="I95" s="220"/>
      <c r="J95" s="220"/>
      <c r="K95" s="220"/>
      <c r="L95" s="220"/>
      <c r="M95" s="220"/>
      <c r="N95" s="220"/>
      <c r="O95" s="220"/>
      <c r="P95" s="220"/>
      <c r="Q95" s="220" t="e">
        <f>Q90</f>
        <v>#REF!</v>
      </c>
      <c r="R95" s="196" t="e">
        <f t="shared" si="31"/>
        <v>#REF!</v>
      </c>
    </row>
    <row r="96" spans="1:18" s="175" customFormat="1" ht="11.25" outlineLevel="1">
      <c r="A96" s="218" t="s">
        <v>252</v>
      </c>
      <c r="B96" s="183"/>
      <c r="C96" s="184"/>
      <c r="D96" s="184"/>
      <c r="E96" s="185"/>
      <c r="F96" s="180"/>
      <c r="G96" s="181"/>
      <c r="H96" s="181"/>
      <c r="I96" s="181"/>
      <c r="J96" s="181"/>
      <c r="K96" s="181"/>
      <c r="L96" s="181"/>
      <c r="M96" s="181"/>
      <c r="N96" s="181"/>
      <c r="O96" s="181"/>
      <c r="P96" s="181"/>
      <c r="Q96" s="181"/>
      <c r="R96" s="182">
        <f t="shared" si="31"/>
        <v>0</v>
      </c>
    </row>
    <row r="97" spans="1:18" s="175" customFormat="1" ht="11.25" outlineLevel="1">
      <c r="A97" s="218" t="s">
        <v>253</v>
      </c>
      <c r="B97" s="183"/>
      <c r="C97" s="184"/>
      <c r="D97" s="184"/>
      <c r="E97" s="185"/>
      <c r="F97" s="180"/>
      <c r="G97" s="181"/>
      <c r="H97" s="181"/>
      <c r="I97" s="181"/>
      <c r="J97" s="181"/>
      <c r="K97" s="181"/>
      <c r="L97" s="181"/>
      <c r="M97" s="181"/>
      <c r="N97" s="181"/>
      <c r="O97" s="181"/>
      <c r="P97" s="181"/>
      <c r="Q97" s="181"/>
      <c r="R97" s="182">
        <f t="shared" si="31"/>
        <v>0</v>
      </c>
    </row>
    <row r="98" spans="1:18" s="175" customFormat="1" ht="11.25" outlineLevel="1">
      <c r="A98" s="218" t="s">
        <v>254</v>
      </c>
      <c r="B98" s="183"/>
      <c r="C98" s="184"/>
      <c r="D98" s="184"/>
      <c r="E98" s="185"/>
      <c r="F98" s="180"/>
      <c r="G98" s="181"/>
      <c r="H98" s="181"/>
      <c r="I98" s="181"/>
      <c r="J98" s="181"/>
      <c r="K98" s="181"/>
      <c r="L98" s="181"/>
      <c r="M98" s="181"/>
      <c r="N98" s="181"/>
      <c r="O98" s="181"/>
      <c r="P98" s="181"/>
      <c r="Q98" s="181"/>
      <c r="R98" s="182">
        <f t="shared" si="31"/>
        <v>0</v>
      </c>
    </row>
    <row r="99" spans="1:18" s="175" customFormat="1" ht="11.25" outlineLevel="1">
      <c r="A99" s="218" t="s">
        <v>255</v>
      </c>
      <c r="B99" s="183"/>
      <c r="C99" s="184"/>
      <c r="D99" s="184"/>
      <c r="E99" s="185"/>
      <c r="F99" s="180"/>
      <c r="G99" s="181"/>
      <c r="H99" s="181"/>
      <c r="I99" s="181"/>
      <c r="J99" s="181"/>
      <c r="K99" s="181"/>
      <c r="L99" s="181"/>
      <c r="M99" s="181"/>
      <c r="N99" s="181"/>
      <c r="O99" s="181"/>
      <c r="P99" s="181"/>
      <c r="Q99" s="181"/>
      <c r="R99" s="182">
        <f t="shared" si="31"/>
        <v>0</v>
      </c>
    </row>
    <row r="100" spans="1:18" s="175" customFormat="1" ht="11.25" outlineLevel="1">
      <c r="A100" s="221" t="s">
        <v>256</v>
      </c>
      <c r="B100" s="201"/>
      <c r="C100" s="202"/>
      <c r="D100" s="202"/>
      <c r="E100" s="203"/>
      <c r="F100" s="204" t="e">
        <f t="shared" ref="F100:Q100" si="32">(F90+G90)/2*F$3</f>
        <v>#REF!</v>
      </c>
      <c r="G100" s="204" t="e">
        <f t="shared" si="32"/>
        <v>#REF!</v>
      </c>
      <c r="H100" s="204" t="e">
        <f t="shared" si="32"/>
        <v>#REF!</v>
      </c>
      <c r="I100" s="204" t="e">
        <f t="shared" si="32"/>
        <v>#REF!</v>
      </c>
      <c r="J100" s="204" t="e">
        <f t="shared" si="32"/>
        <v>#REF!</v>
      </c>
      <c r="K100" s="204" t="e">
        <f t="shared" si="32"/>
        <v>#REF!</v>
      </c>
      <c r="L100" s="204" t="e">
        <f t="shared" si="32"/>
        <v>#REF!</v>
      </c>
      <c r="M100" s="204" t="e">
        <f t="shared" si="32"/>
        <v>#REF!</v>
      </c>
      <c r="N100" s="204" t="e">
        <f t="shared" si="32"/>
        <v>#REF!</v>
      </c>
      <c r="O100" s="204" t="e">
        <f t="shared" si="32"/>
        <v>#REF!</v>
      </c>
      <c r="P100" s="204" t="e">
        <f t="shared" si="32"/>
        <v>#REF!</v>
      </c>
      <c r="Q100" s="204" t="e">
        <f t="shared" si="32"/>
        <v>#REF!</v>
      </c>
      <c r="R100" s="205" t="e">
        <f t="shared" si="31"/>
        <v>#REF!</v>
      </c>
    </row>
    <row r="101" spans="1:18" s="175" customFormat="1" ht="12" outlineLevel="1" thickBot="1">
      <c r="A101" s="206" t="s">
        <v>257</v>
      </c>
      <c r="B101" s="207"/>
      <c r="C101" s="207"/>
      <c r="D101" s="208"/>
      <c r="E101" s="207"/>
      <c r="F101" s="209" t="e">
        <f t="shared" ref="F101:R101" si="33">F100/F$3</f>
        <v>#REF!</v>
      </c>
      <c r="G101" s="210" t="e">
        <f t="shared" si="33"/>
        <v>#REF!</v>
      </c>
      <c r="H101" s="210" t="e">
        <f t="shared" si="33"/>
        <v>#REF!</v>
      </c>
      <c r="I101" s="210" t="e">
        <f t="shared" si="33"/>
        <v>#REF!</v>
      </c>
      <c r="J101" s="210" t="e">
        <f t="shared" si="33"/>
        <v>#REF!</v>
      </c>
      <c r="K101" s="210" t="e">
        <f t="shared" si="33"/>
        <v>#REF!</v>
      </c>
      <c r="L101" s="210" t="e">
        <f t="shared" si="33"/>
        <v>#REF!</v>
      </c>
      <c r="M101" s="210" t="e">
        <f t="shared" si="33"/>
        <v>#REF!</v>
      </c>
      <c r="N101" s="210" t="e">
        <f t="shared" si="33"/>
        <v>#REF!</v>
      </c>
      <c r="O101" s="210" t="e">
        <f t="shared" si="33"/>
        <v>#REF!</v>
      </c>
      <c r="P101" s="210" t="e">
        <f t="shared" si="33"/>
        <v>#REF!</v>
      </c>
      <c r="Q101" s="210" t="e">
        <f t="shared" si="33"/>
        <v>#REF!</v>
      </c>
      <c r="R101" s="211" t="e">
        <f t="shared" si="33"/>
        <v>#REF!</v>
      </c>
    </row>
    <row r="102" spans="1:18" s="151" customFormat="1" ht="12" thickBot="1">
      <c r="A102" s="160" t="s">
        <v>266</v>
      </c>
      <c r="B102" s="161"/>
      <c r="C102" s="161"/>
      <c r="D102" s="161"/>
      <c r="E102" s="161"/>
      <c r="F102" s="161"/>
      <c r="G102" s="161"/>
      <c r="H102" s="161"/>
      <c r="I102" s="161"/>
      <c r="J102" s="161"/>
      <c r="K102" s="161"/>
      <c r="L102" s="161"/>
      <c r="M102" s="161"/>
      <c r="N102" s="161"/>
      <c r="O102" s="161"/>
      <c r="P102" s="161"/>
      <c r="Q102" s="161"/>
      <c r="R102" s="162"/>
    </row>
    <row r="103" spans="1:18" s="151" customFormat="1" ht="12" outlineLevel="1" thickBot="1">
      <c r="A103" s="163" t="s">
        <v>245</v>
      </c>
      <c r="B103" s="164"/>
      <c r="C103" s="164"/>
      <c r="D103" s="165"/>
      <c r="E103" s="166"/>
      <c r="F103" s="164"/>
      <c r="G103" s="164"/>
      <c r="H103" s="164"/>
      <c r="I103" s="164"/>
      <c r="J103" s="164"/>
      <c r="K103" s="164"/>
      <c r="L103" s="164"/>
      <c r="M103" s="164"/>
      <c r="N103" s="164"/>
      <c r="O103" s="164"/>
      <c r="P103" s="164"/>
      <c r="Q103" s="164"/>
      <c r="R103" s="167"/>
    </row>
    <row r="104" spans="1:18" s="175" customFormat="1" ht="11.25" outlineLevel="1">
      <c r="A104" s="168" t="s">
        <v>259</v>
      </c>
      <c r="B104" s="212" t="e">
        <f>+#REF!</f>
        <v>#REF!</v>
      </c>
      <c r="C104" s="212"/>
      <c r="D104" s="213" t="e">
        <f>B104*0.07</f>
        <v>#REF!</v>
      </c>
      <c r="E104" s="171" t="e">
        <f>+D104*270</f>
        <v>#REF!</v>
      </c>
      <c r="F104" s="172" t="e">
        <f>B104</f>
        <v>#REF!</v>
      </c>
      <c r="G104" s="173" t="e">
        <f t="shared" ref="G104:R104" si="34">(F104+F105+F106+F107-F109-F110-F111-F112-F113)</f>
        <v>#REF!</v>
      </c>
      <c r="H104" s="173" t="e">
        <f t="shared" si="34"/>
        <v>#REF!</v>
      </c>
      <c r="I104" s="173" t="e">
        <f t="shared" si="34"/>
        <v>#REF!</v>
      </c>
      <c r="J104" s="173" t="e">
        <f t="shared" si="34"/>
        <v>#REF!</v>
      </c>
      <c r="K104" s="173" t="e">
        <f t="shared" si="34"/>
        <v>#REF!</v>
      </c>
      <c r="L104" s="173" t="e">
        <f t="shared" si="34"/>
        <v>#REF!</v>
      </c>
      <c r="M104" s="173" t="e">
        <f t="shared" si="34"/>
        <v>#REF!</v>
      </c>
      <c r="N104" s="173" t="e">
        <f t="shared" si="34"/>
        <v>#REF!</v>
      </c>
      <c r="O104" s="173" t="e">
        <f t="shared" si="34"/>
        <v>#REF!</v>
      </c>
      <c r="P104" s="173" t="e">
        <f t="shared" si="34"/>
        <v>#REF!</v>
      </c>
      <c r="Q104" s="173" t="e">
        <f t="shared" si="34"/>
        <v>#REF!</v>
      </c>
      <c r="R104" s="174" t="e">
        <f t="shared" si="34"/>
        <v>#REF!</v>
      </c>
    </row>
    <row r="105" spans="1:18" s="175" customFormat="1" ht="11.25" outlineLevel="1">
      <c r="A105" s="214" t="s">
        <v>247</v>
      </c>
      <c r="B105" s="177"/>
      <c r="C105" s="178"/>
      <c r="D105" s="178"/>
      <c r="E105" s="179"/>
      <c r="F105" s="180">
        <f t="shared" ref="F105:Q105" si="35">F165</f>
        <v>0</v>
      </c>
      <c r="G105" s="180">
        <f t="shared" si="35"/>
        <v>0</v>
      </c>
      <c r="H105" s="180">
        <f t="shared" si="35"/>
        <v>0</v>
      </c>
      <c r="I105" s="180">
        <f t="shared" si="35"/>
        <v>0</v>
      </c>
      <c r="J105" s="180">
        <f t="shared" si="35"/>
        <v>0</v>
      </c>
      <c r="K105" s="180">
        <f t="shared" si="35"/>
        <v>0</v>
      </c>
      <c r="L105" s="180">
        <f t="shared" si="35"/>
        <v>0</v>
      </c>
      <c r="M105" s="180">
        <f t="shared" si="35"/>
        <v>0</v>
      </c>
      <c r="N105" s="180">
        <f t="shared" si="35"/>
        <v>0</v>
      </c>
      <c r="O105" s="180">
        <f t="shared" si="35"/>
        <v>0</v>
      </c>
      <c r="P105" s="180">
        <f t="shared" si="35"/>
        <v>0</v>
      </c>
      <c r="Q105" s="180" t="e">
        <f t="shared" si="35"/>
        <v>#REF!</v>
      </c>
      <c r="R105" s="182" t="e">
        <f t="shared" ref="R105:R114" si="36">SUM(F105:Q105)</f>
        <v>#REF!</v>
      </c>
    </row>
    <row r="106" spans="1:18" s="175" customFormat="1" ht="11.25" outlineLevel="1">
      <c r="A106" s="214" t="s">
        <v>248</v>
      </c>
      <c r="B106" s="183"/>
      <c r="C106" s="184"/>
      <c r="D106" s="184"/>
      <c r="E106" s="185"/>
      <c r="F106" s="180"/>
      <c r="G106" s="181"/>
      <c r="H106" s="181"/>
      <c r="I106" s="181"/>
      <c r="J106" s="181"/>
      <c r="K106" s="181"/>
      <c r="L106" s="181"/>
      <c r="M106" s="181"/>
      <c r="N106" s="181"/>
      <c r="O106" s="181"/>
      <c r="P106" s="181"/>
      <c r="Q106" s="181"/>
      <c r="R106" s="182">
        <f t="shared" si="36"/>
        <v>0</v>
      </c>
    </row>
    <row r="107" spans="1:18" s="175" customFormat="1" ht="12" outlineLevel="1" thickBot="1">
      <c r="A107" s="215" t="s">
        <v>249</v>
      </c>
      <c r="B107" s="183"/>
      <c r="C107" s="184"/>
      <c r="D107" s="184"/>
      <c r="E107" s="185"/>
      <c r="F107" s="187"/>
      <c r="G107" s="188"/>
      <c r="H107" s="188"/>
      <c r="I107" s="188"/>
      <c r="J107" s="188"/>
      <c r="K107" s="188"/>
      <c r="L107" s="188"/>
      <c r="M107" s="188"/>
      <c r="N107" s="188"/>
      <c r="O107" s="188"/>
      <c r="P107" s="188"/>
      <c r="Q107" s="188"/>
      <c r="R107" s="189">
        <f t="shared" si="36"/>
        <v>0</v>
      </c>
    </row>
    <row r="108" spans="1:18" s="151" customFormat="1" ht="12" outlineLevel="1" thickBot="1">
      <c r="A108" s="216" t="s">
        <v>250</v>
      </c>
      <c r="B108" s="183"/>
      <c r="C108" s="184"/>
      <c r="D108" s="184"/>
      <c r="E108" s="185"/>
      <c r="F108" s="191"/>
      <c r="G108" s="164"/>
      <c r="H108" s="164"/>
      <c r="I108" s="164"/>
      <c r="J108" s="164"/>
      <c r="K108" s="164"/>
      <c r="L108" s="164"/>
      <c r="M108" s="164"/>
      <c r="N108" s="164"/>
      <c r="O108" s="164"/>
      <c r="P108" s="164"/>
      <c r="Q108" s="164"/>
      <c r="R108" s="192">
        <f t="shared" si="36"/>
        <v>0</v>
      </c>
    </row>
    <row r="109" spans="1:18" s="175" customFormat="1" ht="11.25" outlineLevel="1">
      <c r="A109" s="217" t="s">
        <v>251</v>
      </c>
      <c r="B109" s="183"/>
      <c r="C109" s="184"/>
      <c r="D109" s="184"/>
      <c r="E109" s="185"/>
      <c r="F109" s="219"/>
      <c r="G109" s="220"/>
      <c r="H109" s="220"/>
      <c r="I109" s="220"/>
      <c r="J109" s="220"/>
      <c r="K109" s="220"/>
      <c r="L109" s="220"/>
      <c r="M109" s="220"/>
      <c r="N109" s="220"/>
      <c r="O109" s="220"/>
      <c r="P109" s="220"/>
      <c r="Q109" s="220" t="e">
        <f>Q104</f>
        <v>#REF!</v>
      </c>
      <c r="R109" s="196" t="e">
        <f t="shared" si="36"/>
        <v>#REF!</v>
      </c>
    </row>
    <row r="110" spans="1:18" s="175" customFormat="1" ht="22.5" customHeight="1" outlineLevel="1">
      <c r="A110" s="218" t="s">
        <v>252</v>
      </c>
      <c r="B110" s="183"/>
      <c r="C110" s="184"/>
      <c r="D110" s="184"/>
      <c r="E110" s="185"/>
      <c r="F110" s="180"/>
      <c r="G110" s="181"/>
      <c r="H110" s="181"/>
      <c r="I110" s="181"/>
      <c r="J110" s="181"/>
      <c r="K110" s="181"/>
      <c r="L110" s="181"/>
      <c r="M110" s="181"/>
      <c r="N110" s="181"/>
      <c r="O110" s="181"/>
      <c r="P110" s="181"/>
      <c r="Q110" s="181"/>
      <c r="R110" s="182">
        <f t="shared" si="36"/>
        <v>0</v>
      </c>
    </row>
    <row r="111" spans="1:18" s="175" customFormat="1" ht="11.25" outlineLevel="1">
      <c r="A111" s="218" t="s">
        <v>253</v>
      </c>
      <c r="B111" s="183"/>
      <c r="C111" s="184"/>
      <c r="D111" s="184"/>
      <c r="E111" s="185"/>
      <c r="F111" s="180"/>
      <c r="G111" s="181"/>
      <c r="H111" s="181"/>
      <c r="I111" s="181"/>
      <c r="J111" s="181"/>
      <c r="K111" s="181"/>
      <c r="L111" s="181"/>
      <c r="M111" s="181"/>
      <c r="N111" s="181"/>
      <c r="O111" s="181"/>
      <c r="P111" s="181"/>
      <c r="Q111" s="181"/>
      <c r="R111" s="182">
        <f t="shared" si="36"/>
        <v>0</v>
      </c>
    </row>
    <row r="112" spans="1:18" s="175" customFormat="1" ht="11.25" outlineLevel="1">
      <c r="A112" s="218" t="s">
        <v>254</v>
      </c>
      <c r="B112" s="183"/>
      <c r="C112" s="184"/>
      <c r="D112" s="184"/>
      <c r="E112" s="185"/>
      <c r="F112" s="180"/>
      <c r="G112" s="181"/>
      <c r="H112" s="181"/>
      <c r="I112" s="181"/>
      <c r="J112" s="181"/>
      <c r="K112" s="181"/>
      <c r="L112" s="181"/>
      <c r="M112" s="181"/>
      <c r="N112" s="181"/>
      <c r="O112" s="181"/>
      <c r="P112" s="181"/>
      <c r="Q112" s="181"/>
      <c r="R112" s="182">
        <f t="shared" si="36"/>
        <v>0</v>
      </c>
    </row>
    <row r="113" spans="1:18" s="175" customFormat="1" ht="11.25" outlineLevel="1">
      <c r="A113" s="218" t="s">
        <v>255</v>
      </c>
      <c r="B113" s="183"/>
      <c r="C113" s="184"/>
      <c r="D113" s="184"/>
      <c r="E113" s="185"/>
      <c r="F113" s="180"/>
      <c r="G113" s="181"/>
      <c r="H113" s="181"/>
      <c r="I113" s="181"/>
      <c r="J113" s="181"/>
      <c r="K113" s="181"/>
      <c r="L113" s="181"/>
      <c r="M113" s="181"/>
      <c r="N113" s="181"/>
      <c r="O113" s="181"/>
      <c r="P113" s="181"/>
      <c r="Q113" s="181"/>
      <c r="R113" s="182">
        <f t="shared" si="36"/>
        <v>0</v>
      </c>
    </row>
    <row r="114" spans="1:18" s="175" customFormat="1" ht="11.25" outlineLevel="1">
      <c r="A114" s="221" t="s">
        <v>256</v>
      </c>
      <c r="B114" s="201"/>
      <c r="C114" s="202"/>
      <c r="D114" s="202"/>
      <c r="E114" s="203"/>
      <c r="F114" s="204" t="e">
        <f t="shared" ref="F114:Q114" si="37">(F104+G104)/2*F$3</f>
        <v>#REF!</v>
      </c>
      <c r="G114" s="204" t="e">
        <f t="shared" si="37"/>
        <v>#REF!</v>
      </c>
      <c r="H114" s="204" t="e">
        <f t="shared" si="37"/>
        <v>#REF!</v>
      </c>
      <c r="I114" s="204" t="e">
        <f t="shared" si="37"/>
        <v>#REF!</v>
      </c>
      <c r="J114" s="204" t="e">
        <f t="shared" si="37"/>
        <v>#REF!</v>
      </c>
      <c r="K114" s="204" t="e">
        <f t="shared" si="37"/>
        <v>#REF!</v>
      </c>
      <c r="L114" s="204" t="e">
        <f t="shared" si="37"/>
        <v>#REF!</v>
      </c>
      <c r="M114" s="204" t="e">
        <f t="shared" si="37"/>
        <v>#REF!</v>
      </c>
      <c r="N114" s="204" t="e">
        <f t="shared" si="37"/>
        <v>#REF!</v>
      </c>
      <c r="O114" s="204" t="e">
        <f t="shared" si="37"/>
        <v>#REF!</v>
      </c>
      <c r="P114" s="204" t="e">
        <f t="shared" si="37"/>
        <v>#REF!</v>
      </c>
      <c r="Q114" s="204" t="e">
        <f t="shared" si="37"/>
        <v>#REF!</v>
      </c>
      <c r="R114" s="205" t="e">
        <f t="shared" si="36"/>
        <v>#REF!</v>
      </c>
    </row>
    <row r="115" spans="1:18" s="175" customFormat="1" ht="12" outlineLevel="1" thickBot="1">
      <c r="A115" s="206" t="s">
        <v>257</v>
      </c>
      <c r="B115" s="207"/>
      <c r="C115" s="207"/>
      <c r="D115" s="208"/>
      <c r="E115" s="207"/>
      <c r="F115" s="209" t="e">
        <f t="shared" ref="F115:R115" si="38">F114/F$3</f>
        <v>#REF!</v>
      </c>
      <c r="G115" s="210" t="e">
        <f t="shared" si="38"/>
        <v>#REF!</v>
      </c>
      <c r="H115" s="210" t="e">
        <f t="shared" si="38"/>
        <v>#REF!</v>
      </c>
      <c r="I115" s="210" t="e">
        <f t="shared" si="38"/>
        <v>#REF!</v>
      </c>
      <c r="J115" s="210" t="e">
        <f t="shared" si="38"/>
        <v>#REF!</v>
      </c>
      <c r="K115" s="210" t="e">
        <f t="shared" si="38"/>
        <v>#REF!</v>
      </c>
      <c r="L115" s="210" t="e">
        <f t="shared" si="38"/>
        <v>#REF!</v>
      </c>
      <c r="M115" s="210" t="e">
        <f t="shared" si="38"/>
        <v>#REF!</v>
      </c>
      <c r="N115" s="210" t="e">
        <f t="shared" si="38"/>
        <v>#REF!</v>
      </c>
      <c r="O115" s="210" t="e">
        <f t="shared" si="38"/>
        <v>#REF!</v>
      </c>
      <c r="P115" s="210" t="e">
        <f t="shared" si="38"/>
        <v>#REF!</v>
      </c>
      <c r="Q115" s="210" t="e">
        <f t="shared" si="38"/>
        <v>#REF!</v>
      </c>
      <c r="R115" s="211" t="e">
        <f t="shared" si="38"/>
        <v>#REF!</v>
      </c>
    </row>
    <row r="116" spans="1:18" s="151" customFormat="1" ht="12" thickBot="1">
      <c r="A116" s="160" t="s">
        <v>267</v>
      </c>
      <c r="B116" s="161"/>
      <c r="C116" s="161"/>
      <c r="D116" s="161"/>
      <c r="E116" s="161"/>
      <c r="F116" s="161"/>
      <c r="G116" s="161"/>
      <c r="H116" s="161"/>
      <c r="I116" s="161"/>
      <c r="J116" s="161"/>
      <c r="K116" s="161"/>
      <c r="L116" s="161"/>
      <c r="M116" s="161"/>
      <c r="N116" s="161"/>
      <c r="O116" s="161"/>
      <c r="P116" s="161"/>
      <c r="Q116" s="161"/>
      <c r="R116" s="162"/>
    </row>
    <row r="117" spans="1:18" s="151" customFormat="1" ht="12" outlineLevel="1" thickBot="1">
      <c r="A117" s="163" t="s">
        <v>245</v>
      </c>
      <c r="B117" s="164"/>
      <c r="C117" s="164"/>
      <c r="D117" s="165"/>
      <c r="E117" s="166"/>
      <c r="F117" s="164"/>
      <c r="G117" s="164"/>
      <c r="H117" s="164"/>
      <c r="I117" s="164"/>
      <c r="J117" s="164"/>
      <c r="K117" s="164"/>
      <c r="L117" s="164"/>
      <c r="M117" s="164"/>
      <c r="N117" s="164"/>
      <c r="O117" s="164"/>
      <c r="P117" s="164"/>
      <c r="Q117" s="164"/>
      <c r="R117" s="167"/>
    </row>
    <row r="118" spans="1:18" s="175" customFormat="1" ht="11.25" outlineLevel="1">
      <c r="A118" s="168" t="s">
        <v>259</v>
      </c>
      <c r="B118" s="212" t="e">
        <f>#REF!</f>
        <v>#REF!</v>
      </c>
      <c r="C118" s="212"/>
      <c r="D118" s="213" t="e">
        <f>B118*0.3</f>
        <v>#REF!</v>
      </c>
      <c r="E118" s="171"/>
      <c r="F118" s="172" t="e">
        <f>B118</f>
        <v>#REF!</v>
      </c>
      <c r="G118" s="173" t="e">
        <f t="shared" ref="G118:R118" si="39">(F118+F119+F120+F121-F123-F124-F125-F126-F127)</f>
        <v>#REF!</v>
      </c>
      <c r="H118" s="173" t="e">
        <f t="shared" si="39"/>
        <v>#REF!</v>
      </c>
      <c r="I118" s="173" t="e">
        <f t="shared" si="39"/>
        <v>#REF!</v>
      </c>
      <c r="J118" s="173" t="e">
        <f t="shared" si="39"/>
        <v>#REF!</v>
      </c>
      <c r="K118" s="173" t="e">
        <f t="shared" si="39"/>
        <v>#REF!</v>
      </c>
      <c r="L118" s="173" t="e">
        <f t="shared" si="39"/>
        <v>#REF!</v>
      </c>
      <c r="M118" s="173" t="e">
        <f t="shared" si="39"/>
        <v>#REF!</v>
      </c>
      <c r="N118" s="173" t="e">
        <f t="shared" si="39"/>
        <v>#REF!</v>
      </c>
      <c r="O118" s="173" t="e">
        <f t="shared" si="39"/>
        <v>#REF!</v>
      </c>
      <c r="P118" s="173" t="e">
        <f t="shared" si="39"/>
        <v>#REF!</v>
      </c>
      <c r="Q118" s="173" t="e">
        <f t="shared" si="39"/>
        <v>#REF!</v>
      </c>
      <c r="R118" s="174" t="e">
        <f t="shared" si="39"/>
        <v>#REF!</v>
      </c>
    </row>
    <row r="119" spans="1:18" s="175" customFormat="1" ht="11.25" outlineLevel="1">
      <c r="A119" s="214" t="s">
        <v>247</v>
      </c>
      <c r="B119" s="177"/>
      <c r="C119" s="178"/>
      <c r="D119" s="178"/>
      <c r="E119" s="179"/>
      <c r="F119" s="180">
        <f>F137</f>
        <v>0</v>
      </c>
      <c r="G119" s="180">
        <f t="shared" ref="G119:Q119" si="40">G137</f>
        <v>0</v>
      </c>
      <c r="H119" s="180">
        <f t="shared" si="40"/>
        <v>0</v>
      </c>
      <c r="I119" s="180">
        <f t="shared" si="40"/>
        <v>0</v>
      </c>
      <c r="J119" s="180">
        <f t="shared" si="40"/>
        <v>0</v>
      </c>
      <c r="K119" s="180">
        <f t="shared" si="40"/>
        <v>0</v>
      </c>
      <c r="L119" s="180">
        <f t="shared" si="40"/>
        <v>0</v>
      </c>
      <c r="M119" s="180">
        <f t="shared" si="40"/>
        <v>0</v>
      </c>
      <c r="N119" s="180">
        <f t="shared" si="40"/>
        <v>0</v>
      </c>
      <c r="O119" s="180">
        <f t="shared" si="40"/>
        <v>0</v>
      </c>
      <c r="P119" s="180">
        <f t="shared" si="40"/>
        <v>0</v>
      </c>
      <c r="Q119" s="180" t="e">
        <f t="shared" si="40"/>
        <v>#REF!</v>
      </c>
      <c r="R119" s="182" t="e">
        <f t="shared" ref="R119:R128" si="41">SUM(F119:Q119)</f>
        <v>#REF!</v>
      </c>
    </row>
    <row r="120" spans="1:18" s="175" customFormat="1" ht="11.25" outlineLevel="1">
      <c r="A120" s="214" t="s">
        <v>248</v>
      </c>
      <c r="B120" s="183"/>
      <c r="C120" s="184"/>
      <c r="D120" s="184"/>
      <c r="E120" s="185"/>
      <c r="F120" s="180"/>
      <c r="G120" s="181"/>
      <c r="H120" s="181"/>
      <c r="I120" s="181"/>
      <c r="J120" s="181"/>
      <c r="K120" s="181"/>
      <c r="L120" s="181"/>
      <c r="M120" s="181"/>
      <c r="N120" s="181"/>
      <c r="O120" s="181"/>
      <c r="P120" s="181"/>
      <c r="Q120" s="181"/>
      <c r="R120" s="182">
        <f t="shared" si="41"/>
        <v>0</v>
      </c>
    </row>
    <row r="121" spans="1:18" s="175" customFormat="1" ht="12" outlineLevel="1" thickBot="1">
      <c r="A121" s="215" t="s">
        <v>249</v>
      </c>
      <c r="B121" s="183"/>
      <c r="C121" s="184"/>
      <c r="D121" s="184"/>
      <c r="E121" s="185"/>
      <c r="F121" s="187"/>
      <c r="G121" s="188"/>
      <c r="H121" s="188"/>
      <c r="I121" s="188"/>
      <c r="J121" s="188"/>
      <c r="K121" s="188"/>
      <c r="L121" s="188"/>
      <c r="M121" s="188"/>
      <c r="N121" s="188"/>
      <c r="O121" s="188"/>
      <c r="P121" s="188"/>
      <c r="Q121" s="188"/>
      <c r="R121" s="189">
        <f t="shared" si="41"/>
        <v>0</v>
      </c>
    </row>
    <row r="122" spans="1:18" s="151" customFormat="1" ht="12" outlineLevel="1" thickBot="1">
      <c r="A122" s="216" t="s">
        <v>250</v>
      </c>
      <c r="B122" s="183"/>
      <c r="C122" s="184"/>
      <c r="D122" s="184"/>
      <c r="E122" s="185"/>
      <c r="F122" s="191"/>
      <c r="G122" s="164"/>
      <c r="H122" s="164"/>
      <c r="I122" s="164"/>
      <c r="J122" s="164"/>
      <c r="K122" s="164"/>
      <c r="L122" s="164"/>
      <c r="M122" s="164"/>
      <c r="N122" s="164"/>
      <c r="O122" s="164"/>
      <c r="P122" s="164"/>
      <c r="Q122" s="164"/>
      <c r="R122" s="192">
        <f t="shared" si="41"/>
        <v>0</v>
      </c>
    </row>
    <row r="123" spans="1:18" s="175" customFormat="1" ht="11.25" outlineLevel="1">
      <c r="A123" s="217" t="s">
        <v>251</v>
      </c>
      <c r="B123" s="183"/>
      <c r="C123" s="184"/>
      <c r="D123" s="184"/>
      <c r="E123" s="185"/>
      <c r="F123" s="219"/>
      <c r="G123" s="220"/>
      <c r="H123" s="220"/>
      <c r="I123" s="220"/>
      <c r="J123" s="220"/>
      <c r="K123" s="220"/>
      <c r="L123" s="220"/>
      <c r="M123" s="220"/>
      <c r="N123" s="220"/>
      <c r="O123" s="220"/>
      <c r="P123" s="220"/>
      <c r="Q123" s="220"/>
      <c r="R123" s="196">
        <f t="shared" si="41"/>
        <v>0</v>
      </c>
    </row>
    <row r="124" spans="1:18" s="175" customFormat="1" ht="22.5" customHeight="1" outlineLevel="1">
      <c r="A124" s="218" t="s">
        <v>252</v>
      </c>
      <c r="B124" s="183"/>
      <c r="C124" s="184"/>
      <c r="D124" s="184"/>
      <c r="E124" s="185"/>
      <c r="F124" s="180"/>
      <c r="G124" s="181"/>
      <c r="H124" s="181"/>
      <c r="I124" s="181"/>
      <c r="J124" s="181"/>
      <c r="K124" s="181"/>
      <c r="L124" s="181"/>
      <c r="M124" s="181"/>
      <c r="N124" s="181"/>
      <c r="O124" s="181"/>
      <c r="P124" s="181"/>
      <c r="Q124" s="181"/>
      <c r="R124" s="182">
        <f t="shared" si="41"/>
        <v>0</v>
      </c>
    </row>
    <row r="125" spans="1:18" s="175" customFormat="1" ht="11.25" outlineLevel="1">
      <c r="A125" s="218" t="s">
        <v>253</v>
      </c>
      <c r="B125" s="183"/>
      <c r="C125" s="184"/>
      <c r="D125" s="184"/>
      <c r="E125" s="185"/>
      <c r="F125" s="180"/>
      <c r="G125" s="181"/>
      <c r="H125" s="181"/>
      <c r="I125" s="181"/>
      <c r="J125" s="181"/>
      <c r="K125" s="181"/>
      <c r="L125" s="181"/>
      <c r="M125" s="181"/>
      <c r="N125" s="181"/>
      <c r="O125" s="181"/>
      <c r="P125" s="181"/>
      <c r="Q125" s="181"/>
      <c r="R125" s="182">
        <f t="shared" si="41"/>
        <v>0</v>
      </c>
    </row>
    <row r="126" spans="1:18" s="175" customFormat="1" ht="11.25" outlineLevel="1">
      <c r="A126" s="218" t="s">
        <v>254</v>
      </c>
      <c r="B126" s="183"/>
      <c r="C126" s="184"/>
      <c r="D126" s="184"/>
      <c r="E126" s="185"/>
      <c r="F126" s="180"/>
      <c r="G126" s="181"/>
      <c r="H126" s="181"/>
      <c r="I126" s="181"/>
      <c r="J126" s="181"/>
      <c r="K126" s="181"/>
      <c r="L126" s="181"/>
      <c r="M126" s="181"/>
      <c r="N126" s="181"/>
      <c r="O126" s="181"/>
      <c r="P126" s="181"/>
      <c r="Q126" s="181"/>
      <c r="R126" s="182">
        <f t="shared" si="41"/>
        <v>0</v>
      </c>
    </row>
    <row r="127" spans="1:18" s="175" customFormat="1" ht="11.25" outlineLevel="1">
      <c r="A127" s="218" t="s">
        <v>255</v>
      </c>
      <c r="B127" s="183"/>
      <c r="C127" s="184"/>
      <c r="D127" s="184"/>
      <c r="E127" s="185"/>
      <c r="F127" s="180"/>
      <c r="G127" s="181"/>
      <c r="H127" s="181"/>
      <c r="I127" s="181"/>
      <c r="J127" s="181"/>
      <c r="K127" s="181"/>
      <c r="L127" s="181"/>
      <c r="M127" s="181"/>
      <c r="N127" s="181"/>
      <c r="O127" s="181"/>
      <c r="P127" s="181"/>
      <c r="Q127" s="181"/>
      <c r="R127" s="182">
        <f t="shared" si="41"/>
        <v>0</v>
      </c>
    </row>
    <row r="128" spans="1:18" s="175" customFormat="1" ht="11.25" outlineLevel="1">
      <c r="A128" s="221" t="s">
        <v>256</v>
      </c>
      <c r="B128" s="201"/>
      <c r="C128" s="202"/>
      <c r="D128" s="202"/>
      <c r="E128" s="203"/>
      <c r="F128" s="204" t="e">
        <f t="shared" ref="F128:Q128" si="42">(F118+G118)/2*F$3</f>
        <v>#REF!</v>
      </c>
      <c r="G128" s="204" t="e">
        <f t="shared" si="42"/>
        <v>#REF!</v>
      </c>
      <c r="H128" s="204" t="e">
        <f t="shared" si="42"/>
        <v>#REF!</v>
      </c>
      <c r="I128" s="204" t="e">
        <f t="shared" si="42"/>
        <v>#REF!</v>
      </c>
      <c r="J128" s="204" t="e">
        <f t="shared" si="42"/>
        <v>#REF!</v>
      </c>
      <c r="K128" s="204" t="e">
        <f t="shared" si="42"/>
        <v>#REF!</v>
      </c>
      <c r="L128" s="204" t="e">
        <f t="shared" si="42"/>
        <v>#REF!</v>
      </c>
      <c r="M128" s="204" t="e">
        <f t="shared" si="42"/>
        <v>#REF!</v>
      </c>
      <c r="N128" s="204" t="e">
        <f t="shared" si="42"/>
        <v>#REF!</v>
      </c>
      <c r="O128" s="204" t="e">
        <f t="shared" si="42"/>
        <v>#REF!</v>
      </c>
      <c r="P128" s="204" t="e">
        <f t="shared" si="42"/>
        <v>#REF!</v>
      </c>
      <c r="Q128" s="204" t="e">
        <f t="shared" si="42"/>
        <v>#REF!</v>
      </c>
      <c r="R128" s="205" t="e">
        <f t="shared" si="41"/>
        <v>#REF!</v>
      </c>
    </row>
    <row r="129" spans="1:18" s="175" customFormat="1" ht="12" outlineLevel="1" thickBot="1">
      <c r="A129" s="206" t="s">
        <v>257</v>
      </c>
      <c r="B129" s="207"/>
      <c r="C129" s="207"/>
      <c r="D129" s="208"/>
      <c r="E129" s="207"/>
      <c r="F129" s="209" t="e">
        <f t="shared" ref="F129:R129" si="43">F128/F$3</f>
        <v>#REF!</v>
      </c>
      <c r="G129" s="210" t="e">
        <f t="shared" si="43"/>
        <v>#REF!</v>
      </c>
      <c r="H129" s="210" t="e">
        <f t="shared" si="43"/>
        <v>#REF!</v>
      </c>
      <c r="I129" s="210" t="e">
        <f t="shared" si="43"/>
        <v>#REF!</v>
      </c>
      <c r="J129" s="210" t="e">
        <f t="shared" si="43"/>
        <v>#REF!</v>
      </c>
      <c r="K129" s="210" t="e">
        <f t="shared" si="43"/>
        <v>#REF!</v>
      </c>
      <c r="L129" s="210" t="e">
        <f t="shared" si="43"/>
        <v>#REF!</v>
      </c>
      <c r="M129" s="210" t="e">
        <f t="shared" si="43"/>
        <v>#REF!</v>
      </c>
      <c r="N129" s="210" t="e">
        <f t="shared" si="43"/>
        <v>#REF!</v>
      </c>
      <c r="O129" s="210" t="e">
        <f t="shared" si="43"/>
        <v>#REF!</v>
      </c>
      <c r="P129" s="210" t="e">
        <f t="shared" si="43"/>
        <v>#REF!</v>
      </c>
      <c r="Q129" s="210" t="e">
        <f t="shared" si="43"/>
        <v>#REF!</v>
      </c>
      <c r="R129" s="211" t="e">
        <f t="shared" si="43"/>
        <v>#REF!</v>
      </c>
    </row>
    <row r="130" spans="1:18" s="151" customFormat="1" ht="12" thickBot="1">
      <c r="A130" s="160" t="s">
        <v>268</v>
      </c>
      <c r="B130" s="161"/>
      <c r="C130" s="161"/>
      <c r="D130" s="161"/>
      <c r="E130" s="161"/>
      <c r="F130" s="161"/>
      <c r="G130" s="161"/>
      <c r="H130" s="161"/>
      <c r="I130" s="161"/>
      <c r="J130" s="161"/>
      <c r="K130" s="161"/>
      <c r="L130" s="161"/>
      <c r="M130" s="161"/>
      <c r="N130" s="161"/>
      <c r="O130" s="161"/>
      <c r="P130" s="161"/>
      <c r="Q130" s="161"/>
      <c r="R130" s="162"/>
    </row>
    <row r="131" spans="1:18" s="151" customFormat="1" ht="12" outlineLevel="1" thickBot="1">
      <c r="A131" s="163" t="s">
        <v>245</v>
      </c>
      <c r="B131" s="164"/>
      <c r="C131" s="164"/>
      <c r="D131" s="165"/>
      <c r="E131" s="166"/>
      <c r="F131" s="164"/>
      <c r="G131" s="164"/>
      <c r="H131" s="164"/>
      <c r="I131" s="164"/>
      <c r="J131" s="164"/>
      <c r="K131" s="164"/>
      <c r="L131" s="164"/>
      <c r="M131" s="164"/>
      <c r="N131" s="164"/>
      <c r="O131" s="164"/>
      <c r="P131" s="164"/>
      <c r="Q131" s="164"/>
      <c r="R131" s="167"/>
    </row>
    <row r="132" spans="1:18" s="175" customFormat="1" ht="11.25" outlineLevel="1">
      <c r="A132" s="168" t="s">
        <v>259</v>
      </c>
      <c r="B132" s="212" t="e">
        <f>+#REF!</f>
        <v>#REF!</v>
      </c>
      <c r="C132" s="212"/>
      <c r="D132" s="213" t="e">
        <f>B132*0.257</f>
        <v>#REF!</v>
      </c>
      <c r="E132" s="171" t="e">
        <f>B132*55</f>
        <v>#REF!</v>
      </c>
      <c r="F132" s="172" t="e">
        <f>B132</f>
        <v>#REF!</v>
      </c>
      <c r="G132" s="173" t="e">
        <f t="shared" ref="G132:R132" si="44">(F132+F133+F134+F135-F137-F138-F139-F140-F141)</f>
        <v>#REF!</v>
      </c>
      <c r="H132" s="173" t="e">
        <f t="shared" si="44"/>
        <v>#REF!</v>
      </c>
      <c r="I132" s="173" t="e">
        <f t="shared" si="44"/>
        <v>#REF!</v>
      </c>
      <c r="J132" s="173" t="e">
        <f t="shared" si="44"/>
        <v>#REF!</v>
      </c>
      <c r="K132" s="173" t="e">
        <f t="shared" si="44"/>
        <v>#REF!</v>
      </c>
      <c r="L132" s="173" t="e">
        <f t="shared" si="44"/>
        <v>#REF!</v>
      </c>
      <c r="M132" s="173" t="e">
        <f t="shared" si="44"/>
        <v>#REF!</v>
      </c>
      <c r="N132" s="173" t="e">
        <f t="shared" si="44"/>
        <v>#REF!</v>
      </c>
      <c r="O132" s="173" t="e">
        <f t="shared" si="44"/>
        <v>#REF!</v>
      </c>
      <c r="P132" s="173" t="e">
        <f t="shared" si="44"/>
        <v>#REF!</v>
      </c>
      <c r="Q132" s="173" t="e">
        <f t="shared" si="44"/>
        <v>#REF!</v>
      </c>
      <c r="R132" s="174" t="e">
        <f t="shared" si="44"/>
        <v>#REF!</v>
      </c>
    </row>
    <row r="133" spans="1:18" s="175" customFormat="1" ht="11.25" outlineLevel="1">
      <c r="A133" s="214" t="s">
        <v>247</v>
      </c>
      <c r="B133" s="177"/>
      <c r="C133" s="178"/>
      <c r="D133" s="178"/>
      <c r="E133" s="179"/>
      <c r="F133" s="230">
        <f>F151</f>
        <v>0</v>
      </c>
      <c r="G133" s="181">
        <f t="shared" ref="G133:Q133" si="45">G151</f>
        <v>0</v>
      </c>
      <c r="H133" s="181">
        <f t="shared" si="45"/>
        <v>0</v>
      </c>
      <c r="I133" s="181">
        <f t="shared" si="45"/>
        <v>0</v>
      </c>
      <c r="J133" s="181">
        <f t="shared" si="45"/>
        <v>0</v>
      </c>
      <c r="K133" s="181">
        <f t="shared" si="45"/>
        <v>0</v>
      </c>
      <c r="L133" s="181">
        <f t="shared" si="45"/>
        <v>0</v>
      </c>
      <c r="M133" s="181">
        <f t="shared" si="45"/>
        <v>0</v>
      </c>
      <c r="N133" s="181">
        <f t="shared" si="45"/>
        <v>0</v>
      </c>
      <c r="O133" s="181">
        <f t="shared" si="45"/>
        <v>0</v>
      </c>
      <c r="P133" s="181">
        <f t="shared" si="45"/>
        <v>0</v>
      </c>
      <c r="Q133" s="227" t="e">
        <f t="shared" si="45"/>
        <v>#REF!</v>
      </c>
      <c r="R133" s="182" t="e">
        <f t="shared" ref="R133:R142" si="46">SUM(F133:Q133)</f>
        <v>#REF!</v>
      </c>
    </row>
    <row r="134" spans="1:18" s="175" customFormat="1" ht="11.25" outlineLevel="1">
      <c r="A134" s="214" t="s">
        <v>248</v>
      </c>
      <c r="B134" s="183"/>
      <c r="C134" s="184"/>
      <c r="D134" s="184"/>
      <c r="E134" s="185"/>
      <c r="F134" s="180"/>
      <c r="G134" s="181"/>
      <c r="H134" s="181"/>
      <c r="I134" s="181"/>
      <c r="J134" s="181"/>
      <c r="K134" s="181"/>
      <c r="L134" s="181"/>
      <c r="M134" s="181"/>
      <c r="N134" s="181"/>
      <c r="O134" s="181"/>
      <c r="P134" s="181"/>
      <c r="Q134" s="181"/>
      <c r="R134" s="182">
        <f t="shared" si="46"/>
        <v>0</v>
      </c>
    </row>
    <row r="135" spans="1:18" s="175" customFormat="1" ht="12" outlineLevel="1" thickBot="1">
      <c r="A135" s="215" t="s">
        <v>249</v>
      </c>
      <c r="B135" s="183"/>
      <c r="C135" s="184"/>
      <c r="D135" s="184"/>
      <c r="E135" s="185"/>
      <c r="F135" s="187"/>
      <c r="G135" s="188"/>
      <c r="H135" s="188"/>
      <c r="I135" s="188"/>
      <c r="J135" s="188"/>
      <c r="K135" s="188"/>
      <c r="L135" s="188"/>
      <c r="M135" s="188"/>
      <c r="N135" s="188"/>
      <c r="O135" s="188"/>
      <c r="P135" s="188"/>
      <c r="Q135" s="188"/>
      <c r="R135" s="189">
        <f t="shared" si="46"/>
        <v>0</v>
      </c>
    </row>
    <row r="136" spans="1:18" s="151" customFormat="1" ht="12" outlineLevel="1" thickBot="1">
      <c r="A136" s="216" t="s">
        <v>250</v>
      </c>
      <c r="B136" s="183"/>
      <c r="C136" s="184"/>
      <c r="D136" s="184"/>
      <c r="E136" s="185"/>
      <c r="F136" s="191"/>
      <c r="G136" s="164"/>
      <c r="H136" s="164"/>
      <c r="I136" s="164"/>
      <c r="J136" s="164"/>
      <c r="K136" s="164"/>
      <c r="L136" s="164"/>
      <c r="M136" s="164"/>
      <c r="N136" s="164"/>
      <c r="O136" s="164"/>
      <c r="P136" s="164"/>
      <c r="Q136" s="164"/>
      <c r="R136" s="192">
        <f t="shared" si="46"/>
        <v>0</v>
      </c>
    </row>
    <row r="137" spans="1:18" s="175" customFormat="1" ht="11.25" outlineLevel="1">
      <c r="A137" s="217" t="s">
        <v>251</v>
      </c>
      <c r="B137" s="183"/>
      <c r="C137" s="184"/>
      <c r="D137" s="184"/>
      <c r="E137" s="185"/>
      <c r="F137" s="219"/>
      <c r="G137" s="220"/>
      <c r="H137" s="220"/>
      <c r="I137" s="220"/>
      <c r="J137" s="220"/>
      <c r="K137" s="220"/>
      <c r="L137" s="220"/>
      <c r="M137" s="220"/>
      <c r="N137" s="220"/>
      <c r="O137" s="220"/>
      <c r="P137" s="220"/>
      <c r="Q137" s="220" t="e">
        <f>Q132</f>
        <v>#REF!</v>
      </c>
      <c r="R137" s="196" t="e">
        <f t="shared" si="46"/>
        <v>#REF!</v>
      </c>
    </row>
    <row r="138" spans="1:18" s="175" customFormat="1" ht="22.5" customHeight="1" outlineLevel="1">
      <c r="A138" s="218" t="s">
        <v>252</v>
      </c>
      <c r="B138" s="183"/>
      <c r="C138" s="184"/>
      <c r="D138" s="184"/>
      <c r="E138" s="185"/>
      <c r="F138" s="180"/>
      <c r="G138" s="181"/>
      <c r="H138" s="181"/>
      <c r="I138" s="181"/>
      <c r="J138" s="181"/>
      <c r="K138" s="181"/>
      <c r="L138" s="181"/>
      <c r="M138" s="181"/>
      <c r="N138" s="181"/>
      <c r="O138" s="181"/>
      <c r="P138" s="181" t="e">
        <f>+P132</f>
        <v>#REF!</v>
      </c>
      <c r="Q138" s="181"/>
      <c r="R138" s="182" t="e">
        <f t="shared" si="46"/>
        <v>#REF!</v>
      </c>
    </row>
    <row r="139" spans="1:18" s="175" customFormat="1" ht="11.25" outlineLevel="1">
      <c r="A139" s="218" t="s">
        <v>253</v>
      </c>
      <c r="B139" s="183"/>
      <c r="C139" s="184"/>
      <c r="D139" s="184"/>
      <c r="E139" s="185"/>
      <c r="F139" s="180"/>
      <c r="G139" s="181"/>
      <c r="H139" s="181"/>
      <c r="I139" s="181"/>
      <c r="J139" s="181"/>
      <c r="K139" s="181"/>
      <c r="L139" s="181"/>
      <c r="M139" s="181"/>
      <c r="N139" s="181"/>
      <c r="O139" s="181"/>
      <c r="P139" s="181"/>
      <c r="Q139" s="181"/>
      <c r="R139" s="182">
        <f t="shared" si="46"/>
        <v>0</v>
      </c>
    </row>
    <row r="140" spans="1:18" s="175" customFormat="1" ht="11.25" outlineLevel="1">
      <c r="A140" s="218" t="s">
        <v>254</v>
      </c>
      <c r="B140" s="183"/>
      <c r="C140" s="184"/>
      <c r="D140" s="184"/>
      <c r="E140" s="185"/>
      <c r="F140" s="180"/>
      <c r="G140" s="181"/>
      <c r="H140" s="181"/>
      <c r="I140" s="181"/>
      <c r="J140" s="181"/>
      <c r="K140" s="181"/>
      <c r="L140" s="181"/>
      <c r="M140" s="181"/>
      <c r="N140" s="181"/>
      <c r="O140" s="181"/>
      <c r="P140" s="181"/>
      <c r="Q140" s="181"/>
      <c r="R140" s="182">
        <f t="shared" si="46"/>
        <v>0</v>
      </c>
    </row>
    <row r="141" spans="1:18" s="175" customFormat="1" ht="11.25" outlineLevel="1">
      <c r="A141" s="218" t="s">
        <v>255</v>
      </c>
      <c r="B141" s="183"/>
      <c r="C141" s="184"/>
      <c r="D141" s="184"/>
      <c r="E141" s="185"/>
      <c r="F141" s="180"/>
      <c r="G141" s="181"/>
      <c r="H141" s="181"/>
      <c r="I141" s="181"/>
      <c r="J141" s="181"/>
      <c r="K141" s="181"/>
      <c r="L141" s="181"/>
      <c r="M141" s="181"/>
      <c r="N141" s="181"/>
      <c r="O141" s="181"/>
      <c r="P141" s="181"/>
      <c r="Q141" s="181"/>
      <c r="R141" s="182">
        <f t="shared" si="46"/>
        <v>0</v>
      </c>
    </row>
    <row r="142" spans="1:18" s="175" customFormat="1" ht="11.25" outlineLevel="1">
      <c r="A142" s="221" t="s">
        <v>256</v>
      </c>
      <c r="B142" s="201"/>
      <c r="C142" s="202"/>
      <c r="D142" s="202"/>
      <c r="E142" s="203"/>
      <c r="F142" s="204" t="e">
        <f>(F132+G132)/2*F$3</f>
        <v>#REF!</v>
      </c>
      <c r="G142" s="204" t="e">
        <f t="shared" ref="G142:Q142" si="47">(G132+H132)/2*G$3</f>
        <v>#REF!</v>
      </c>
      <c r="H142" s="204" t="e">
        <f t="shared" si="47"/>
        <v>#REF!</v>
      </c>
      <c r="I142" s="204" t="e">
        <f t="shared" si="47"/>
        <v>#REF!</v>
      </c>
      <c r="J142" s="204" t="e">
        <f t="shared" si="47"/>
        <v>#REF!</v>
      </c>
      <c r="K142" s="204" t="e">
        <f t="shared" si="47"/>
        <v>#REF!</v>
      </c>
      <c r="L142" s="204" t="e">
        <f t="shared" si="47"/>
        <v>#REF!</v>
      </c>
      <c r="M142" s="204" t="e">
        <f t="shared" si="47"/>
        <v>#REF!</v>
      </c>
      <c r="N142" s="204" t="e">
        <f t="shared" si="47"/>
        <v>#REF!</v>
      </c>
      <c r="O142" s="204" t="e">
        <f t="shared" si="47"/>
        <v>#REF!</v>
      </c>
      <c r="P142" s="204" t="e">
        <f t="shared" si="47"/>
        <v>#REF!</v>
      </c>
      <c r="Q142" s="204" t="e">
        <f t="shared" si="47"/>
        <v>#REF!</v>
      </c>
      <c r="R142" s="205" t="e">
        <f t="shared" si="46"/>
        <v>#REF!</v>
      </c>
    </row>
    <row r="143" spans="1:18" s="175" customFormat="1" ht="12" outlineLevel="1" thickBot="1">
      <c r="A143" s="206" t="s">
        <v>257</v>
      </c>
      <c r="B143" s="207"/>
      <c r="C143" s="207"/>
      <c r="D143" s="208"/>
      <c r="E143" s="207"/>
      <c r="F143" s="209" t="e">
        <f>F142/F$3</f>
        <v>#REF!</v>
      </c>
      <c r="G143" s="210" t="e">
        <f t="shared" ref="G143:R143" si="48">G142/G$3</f>
        <v>#REF!</v>
      </c>
      <c r="H143" s="210" t="e">
        <f t="shared" si="48"/>
        <v>#REF!</v>
      </c>
      <c r="I143" s="210" t="e">
        <f t="shared" si="48"/>
        <v>#REF!</v>
      </c>
      <c r="J143" s="210" t="e">
        <f t="shared" si="48"/>
        <v>#REF!</v>
      </c>
      <c r="K143" s="210" t="e">
        <f t="shared" si="48"/>
        <v>#REF!</v>
      </c>
      <c r="L143" s="210" t="e">
        <f t="shared" si="48"/>
        <v>#REF!</v>
      </c>
      <c r="M143" s="210" t="e">
        <f t="shared" si="48"/>
        <v>#REF!</v>
      </c>
      <c r="N143" s="210" t="e">
        <f t="shared" si="48"/>
        <v>#REF!</v>
      </c>
      <c r="O143" s="210" t="e">
        <f t="shared" si="48"/>
        <v>#REF!</v>
      </c>
      <c r="P143" s="210" t="e">
        <f t="shared" si="48"/>
        <v>#REF!</v>
      </c>
      <c r="Q143" s="210" t="e">
        <f t="shared" si="48"/>
        <v>#REF!</v>
      </c>
      <c r="R143" s="211" t="e">
        <f t="shared" si="48"/>
        <v>#REF!</v>
      </c>
    </row>
    <row r="144" spans="1:18" s="151" customFormat="1" ht="12" thickBot="1">
      <c r="A144" s="160" t="s">
        <v>269</v>
      </c>
      <c r="B144" s="161"/>
      <c r="C144" s="161"/>
      <c r="D144" s="161"/>
      <c r="E144" s="161"/>
      <c r="F144" s="161"/>
      <c r="G144" s="161"/>
      <c r="H144" s="161"/>
      <c r="I144" s="161"/>
      <c r="J144" s="161"/>
      <c r="K144" s="161"/>
      <c r="L144" s="161"/>
      <c r="M144" s="161"/>
      <c r="N144" s="161"/>
      <c r="O144" s="161"/>
      <c r="P144" s="161"/>
      <c r="Q144" s="161"/>
      <c r="R144" s="162"/>
    </row>
    <row r="145" spans="1:18" s="151" customFormat="1" ht="12" outlineLevel="1" thickBot="1">
      <c r="A145" s="163" t="s">
        <v>245</v>
      </c>
      <c r="B145" s="164"/>
      <c r="C145" s="164"/>
      <c r="D145" s="165"/>
      <c r="E145" s="166"/>
      <c r="F145" s="164"/>
      <c r="G145" s="164"/>
      <c r="H145" s="164"/>
      <c r="I145" s="164"/>
      <c r="J145" s="164"/>
      <c r="K145" s="164"/>
      <c r="L145" s="164"/>
      <c r="M145" s="164"/>
      <c r="N145" s="164"/>
      <c r="O145" s="164"/>
      <c r="P145" s="164"/>
      <c r="Q145" s="164"/>
      <c r="R145" s="167"/>
    </row>
    <row r="146" spans="1:18" s="175" customFormat="1" ht="11.25" outlineLevel="1">
      <c r="A146" s="168" t="s">
        <v>259</v>
      </c>
      <c r="B146" s="212" t="e">
        <f>+#REF!</f>
        <v>#REF!</v>
      </c>
      <c r="C146" s="212"/>
      <c r="D146" s="213" t="e">
        <f>B146*0.075</f>
        <v>#REF!</v>
      </c>
      <c r="E146" s="171" t="e">
        <f>+D146*270</f>
        <v>#REF!</v>
      </c>
      <c r="F146" s="172" t="e">
        <f>B146</f>
        <v>#REF!</v>
      </c>
      <c r="G146" s="173" t="e">
        <f t="shared" ref="G146:R146" si="49">(F146+F147+F148+F149-F151-F152-F153-F154-F155)</f>
        <v>#REF!</v>
      </c>
      <c r="H146" s="173" t="e">
        <f t="shared" si="49"/>
        <v>#REF!</v>
      </c>
      <c r="I146" s="173" t="e">
        <f t="shared" si="49"/>
        <v>#REF!</v>
      </c>
      <c r="J146" s="173" t="e">
        <f t="shared" si="49"/>
        <v>#REF!</v>
      </c>
      <c r="K146" s="173" t="e">
        <f t="shared" si="49"/>
        <v>#REF!</v>
      </c>
      <c r="L146" s="173" t="e">
        <f t="shared" si="49"/>
        <v>#REF!</v>
      </c>
      <c r="M146" s="173" t="e">
        <f t="shared" si="49"/>
        <v>#REF!</v>
      </c>
      <c r="N146" s="173" t="e">
        <f t="shared" si="49"/>
        <v>#REF!</v>
      </c>
      <c r="O146" s="173" t="e">
        <f t="shared" si="49"/>
        <v>#REF!</v>
      </c>
      <c r="P146" s="173" t="e">
        <f t="shared" si="49"/>
        <v>#REF!</v>
      </c>
      <c r="Q146" s="173" t="e">
        <f t="shared" si="49"/>
        <v>#REF!</v>
      </c>
      <c r="R146" s="174" t="e">
        <f t="shared" si="49"/>
        <v>#REF!</v>
      </c>
    </row>
    <row r="147" spans="1:18" s="175" customFormat="1" ht="11.25" outlineLevel="1">
      <c r="A147" s="214" t="s">
        <v>247</v>
      </c>
      <c r="B147" s="177"/>
      <c r="C147" s="178"/>
      <c r="D147" s="178"/>
      <c r="E147" s="179"/>
      <c r="F147" s="230">
        <f>F179</f>
        <v>0</v>
      </c>
      <c r="G147" s="181">
        <f t="shared" ref="G147:Q147" si="50">G179</f>
        <v>0</v>
      </c>
      <c r="H147" s="181">
        <f t="shared" si="50"/>
        <v>0</v>
      </c>
      <c r="I147" s="181">
        <f t="shared" si="50"/>
        <v>0</v>
      </c>
      <c r="J147" s="181">
        <f t="shared" si="50"/>
        <v>0</v>
      </c>
      <c r="K147" s="181">
        <f t="shared" si="50"/>
        <v>0</v>
      </c>
      <c r="L147" s="181">
        <f t="shared" si="50"/>
        <v>0</v>
      </c>
      <c r="M147" s="181">
        <f t="shared" si="50"/>
        <v>0</v>
      </c>
      <c r="N147" s="181">
        <f t="shared" si="50"/>
        <v>0</v>
      </c>
      <c r="O147" s="181">
        <f t="shared" si="50"/>
        <v>0</v>
      </c>
      <c r="P147" s="181">
        <f t="shared" si="50"/>
        <v>0</v>
      </c>
      <c r="Q147" s="227" t="e">
        <f t="shared" si="50"/>
        <v>#REF!</v>
      </c>
      <c r="R147" s="182" t="e">
        <f t="shared" ref="R147:R156" si="51">SUM(F147:Q147)</f>
        <v>#REF!</v>
      </c>
    </row>
    <row r="148" spans="1:18" s="175" customFormat="1" ht="11.25" outlineLevel="1">
      <c r="A148" s="214" t="s">
        <v>248</v>
      </c>
      <c r="B148" s="183"/>
      <c r="C148" s="184"/>
      <c r="D148" s="184"/>
      <c r="E148" s="185"/>
      <c r="F148" s="180"/>
      <c r="G148" s="181"/>
      <c r="H148" s="181"/>
      <c r="I148" s="181"/>
      <c r="J148" s="181"/>
      <c r="K148" s="181"/>
      <c r="L148" s="181"/>
      <c r="M148" s="181"/>
      <c r="N148" s="181"/>
      <c r="O148" s="181"/>
      <c r="P148" s="181"/>
      <c r="Q148" s="181"/>
      <c r="R148" s="182">
        <f t="shared" si="51"/>
        <v>0</v>
      </c>
    </row>
    <row r="149" spans="1:18" s="175" customFormat="1" ht="12" outlineLevel="1" thickBot="1">
      <c r="A149" s="215" t="s">
        <v>249</v>
      </c>
      <c r="B149" s="183"/>
      <c r="C149" s="184"/>
      <c r="D149" s="184"/>
      <c r="E149" s="185"/>
      <c r="F149" s="187"/>
      <c r="G149" s="188"/>
      <c r="H149" s="188"/>
      <c r="I149" s="188"/>
      <c r="J149" s="188"/>
      <c r="K149" s="188"/>
      <c r="L149" s="188"/>
      <c r="M149" s="188"/>
      <c r="N149" s="188"/>
      <c r="O149" s="188"/>
      <c r="P149" s="188"/>
      <c r="Q149" s="188"/>
      <c r="R149" s="189">
        <f t="shared" si="51"/>
        <v>0</v>
      </c>
    </row>
    <row r="150" spans="1:18" s="151" customFormat="1" ht="12" outlineLevel="1" thickBot="1">
      <c r="A150" s="216" t="s">
        <v>250</v>
      </c>
      <c r="B150" s="183"/>
      <c r="C150" s="184"/>
      <c r="D150" s="184"/>
      <c r="E150" s="185"/>
      <c r="F150" s="191"/>
      <c r="G150" s="164"/>
      <c r="H150" s="164"/>
      <c r="I150" s="164"/>
      <c r="J150" s="164"/>
      <c r="K150" s="164"/>
      <c r="L150" s="164"/>
      <c r="M150" s="164"/>
      <c r="N150" s="164"/>
      <c r="O150" s="164"/>
      <c r="P150" s="164"/>
      <c r="Q150" s="164"/>
      <c r="R150" s="192">
        <f t="shared" si="51"/>
        <v>0</v>
      </c>
    </row>
    <row r="151" spans="1:18" s="175" customFormat="1" ht="11.25" outlineLevel="1">
      <c r="A151" s="217" t="s">
        <v>251</v>
      </c>
      <c r="B151" s="183"/>
      <c r="C151" s="184"/>
      <c r="D151" s="184"/>
      <c r="E151" s="185"/>
      <c r="F151" s="219"/>
      <c r="G151" s="220"/>
      <c r="H151" s="220"/>
      <c r="I151" s="220"/>
      <c r="J151" s="220"/>
      <c r="K151" s="220"/>
      <c r="L151" s="220"/>
      <c r="M151" s="220"/>
      <c r="N151" s="220"/>
      <c r="O151" s="220"/>
      <c r="P151" s="220"/>
      <c r="Q151" s="220" t="e">
        <f>+Q146</f>
        <v>#REF!</v>
      </c>
      <c r="R151" s="196" t="e">
        <f t="shared" si="51"/>
        <v>#REF!</v>
      </c>
    </row>
    <row r="152" spans="1:18" s="175" customFormat="1" ht="22.5" customHeight="1" outlineLevel="1">
      <c r="A152" s="218" t="s">
        <v>252</v>
      </c>
      <c r="B152" s="183"/>
      <c r="C152" s="184"/>
      <c r="D152" s="184"/>
      <c r="E152" s="185"/>
      <c r="F152" s="180"/>
      <c r="G152" s="181"/>
      <c r="H152" s="181"/>
      <c r="I152" s="181"/>
      <c r="J152" s="181"/>
      <c r="K152" s="181"/>
      <c r="L152" s="181"/>
      <c r="M152" s="181"/>
      <c r="N152" s="181"/>
      <c r="O152" s="181"/>
      <c r="P152" s="181"/>
      <c r="Q152" s="181"/>
      <c r="R152" s="182">
        <f t="shared" si="51"/>
        <v>0</v>
      </c>
    </row>
    <row r="153" spans="1:18" s="175" customFormat="1" ht="11.25" outlineLevel="1">
      <c r="A153" s="218" t="s">
        <v>253</v>
      </c>
      <c r="B153" s="183"/>
      <c r="C153" s="184"/>
      <c r="D153" s="184"/>
      <c r="E153" s="185"/>
      <c r="F153" s="180"/>
      <c r="G153" s="181"/>
      <c r="H153" s="181"/>
      <c r="I153" s="181"/>
      <c r="J153" s="181"/>
      <c r="K153" s="181"/>
      <c r="L153" s="181"/>
      <c r="M153" s="181"/>
      <c r="N153" s="181"/>
      <c r="O153" s="181"/>
      <c r="P153" s="181"/>
      <c r="Q153" s="181"/>
      <c r="R153" s="182">
        <f t="shared" si="51"/>
        <v>0</v>
      </c>
    </row>
    <row r="154" spans="1:18" s="175" customFormat="1" ht="11.25" outlineLevel="1">
      <c r="A154" s="218" t="s">
        <v>254</v>
      </c>
      <c r="B154" s="183"/>
      <c r="C154" s="184"/>
      <c r="D154" s="184"/>
      <c r="E154" s="185"/>
      <c r="F154" s="180"/>
      <c r="G154" s="181"/>
      <c r="H154" s="181"/>
      <c r="I154" s="181"/>
      <c r="J154" s="181"/>
      <c r="K154" s="181"/>
      <c r="L154" s="181"/>
      <c r="M154" s="181"/>
      <c r="N154" s="181"/>
      <c r="O154" s="227"/>
      <c r="P154" s="181"/>
      <c r="Q154" s="181"/>
      <c r="R154" s="182">
        <f t="shared" si="51"/>
        <v>0</v>
      </c>
    </row>
    <row r="155" spans="1:18" s="175" customFormat="1" ht="11.25" outlineLevel="1">
      <c r="A155" s="218" t="s">
        <v>255</v>
      </c>
      <c r="B155" s="183"/>
      <c r="C155" s="184"/>
      <c r="D155" s="184"/>
      <c r="E155" s="185"/>
      <c r="F155" s="180"/>
      <c r="G155" s="181"/>
      <c r="H155" s="181"/>
      <c r="I155" s="181"/>
      <c r="J155" s="181"/>
      <c r="K155" s="181"/>
      <c r="L155" s="181"/>
      <c r="M155" s="181"/>
      <c r="N155" s="181"/>
      <c r="O155" s="227"/>
      <c r="P155" s="181"/>
      <c r="Q155" s="181"/>
      <c r="R155" s="182">
        <f t="shared" si="51"/>
        <v>0</v>
      </c>
    </row>
    <row r="156" spans="1:18" s="175" customFormat="1" ht="11.25" outlineLevel="1">
      <c r="A156" s="221" t="s">
        <v>256</v>
      </c>
      <c r="B156" s="201"/>
      <c r="C156" s="202"/>
      <c r="D156" s="202"/>
      <c r="E156" s="203"/>
      <c r="F156" s="204" t="e">
        <f t="shared" ref="F156:Q156" si="52">(F146+G146)/2*F$3</f>
        <v>#REF!</v>
      </c>
      <c r="G156" s="204" t="e">
        <f t="shared" si="52"/>
        <v>#REF!</v>
      </c>
      <c r="H156" s="204" t="e">
        <f t="shared" si="52"/>
        <v>#REF!</v>
      </c>
      <c r="I156" s="204" t="e">
        <f t="shared" si="52"/>
        <v>#REF!</v>
      </c>
      <c r="J156" s="204" t="e">
        <f t="shared" si="52"/>
        <v>#REF!</v>
      </c>
      <c r="K156" s="204" t="e">
        <f t="shared" si="52"/>
        <v>#REF!</v>
      </c>
      <c r="L156" s="204" t="e">
        <f t="shared" si="52"/>
        <v>#REF!</v>
      </c>
      <c r="M156" s="204" t="e">
        <f t="shared" si="52"/>
        <v>#REF!</v>
      </c>
      <c r="N156" s="204" t="e">
        <f t="shared" si="52"/>
        <v>#REF!</v>
      </c>
      <c r="O156" s="204" t="e">
        <f t="shared" si="52"/>
        <v>#REF!</v>
      </c>
      <c r="P156" s="204" t="e">
        <f t="shared" si="52"/>
        <v>#REF!</v>
      </c>
      <c r="Q156" s="204" t="e">
        <f t="shared" si="52"/>
        <v>#REF!</v>
      </c>
      <c r="R156" s="205" t="e">
        <f t="shared" si="51"/>
        <v>#REF!</v>
      </c>
    </row>
    <row r="157" spans="1:18" s="175" customFormat="1" ht="12" outlineLevel="1" thickBot="1">
      <c r="A157" s="206" t="s">
        <v>257</v>
      </c>
      <c r="B157" s="207"/>
      <c r="C157" s="207"/>
      <c r="D157" s="208"/>
      <c r="E157" s="207"/>
      <c r="F157" s="209" t="e">
        <f t="shared" ref="F157:R157" si="53">F156/F$3</f>
        <v>#REF!</v>
      </c>
      <c r="G157" s="210" t="e">
        <f t="shared" si="53"/>
        <v>#REF!</v>
      </c>
      <c r="H157" s="210" t="e">
        <f t="shared" si="53"/>
        <v>#REF!</v>
      </c>
      <c r="I157" s="210" t="e">
        <f t="shared" si="53"/>
        <v>#REF!</v>
      </c>
      <c r="J157" s="210" t="e">
        <f t="shared" si="53"/>
        <v>#REF!</v>
      </c>
      <c r="K157" s="210" t="e">
        <f t="shared" si="53"/>
        <v>#REF!</v>
      </c>
      <c r="L157" s="210" t="e">
        <f t="shared" si="53"/>
        <v>#REF!</v>
      </c>
      <c r="M157" s="210" t="e">
        <f t="shared" si="53"/>
        <v>#REF!</v>
      </c>
      <c r="N157" s="210" t="e">
        <f t="shared" si="53"/>
        <v>#REF!</v>
      </c>
      <c r="O157" s="210" t="e">
        <f t="shared" si="53"/>
        <v>#REF!</v>
      </c>
      <c r="P157" s="210" t="e">
        <f t="shared" si="53"/>
        <v>#REF!</v>
      </c>
      <c r="Q157" s="210" t="e">
        <f t="shared" si="53"/>
        <v>#REF!</v>
      </c>
      <c r="R157" s="211" t="e">
        <f t="shared" si="53"/>
        <v>#REF!</v>
      </c>
    </row>
    <row r="158" spans="1:18" s="151" customFormat="1" ht="12" thickBot="1">
      <c r="A158" s="160" t="s">
        <v>270</v>
      </c>
      <c r="B158" s="161"/>
      <c r="C158" s="161"/>
      <c r="D158" s="161"/>
      <c r="E158" s="161"/>
      <c r="F158" s="161"/>
      <c r="G158" s="161"/>
      <c r="H158" s="161"/>
      <c r="I158" s="161"/>
      <c r="J158" s="161"/>
      <c r="K158" s="161"/>
      <c r="L158" s="161"/>
      <c r="M158" s="161"/>
      <c r="N158" s="161"/>
      <c r="O158" s="161"/>
      <c r="P158" s="161"/>
      <c r="Q158" s="161"/>
      <c r="R158" s="162"/>
    </row>
    <row r="159" spans="1:18" s="151" customFormat="1" ht="12" outlineLevel="1" thickBot="1">
      <c r="A159" s="163" t="s">
        <v>245</v>
      </c>
      <c r="B159" s="164"/>
      <c r="C159" s="164"/>
      <c r="D159" s="165"/>
      <c r="E159" s="166"/>
      <c r="F159" s="164"/>
      <c r="G159" s="164"/>
      <c r="H159" s="164"/>
      <c r="I159" s="164"/>
      <c r="J159" s="164"/>
      <c r="K159" s="164"/>
      <c r="L159" s="164"/>
      <c r="M159" s="164"/>
      <c r="N159" s="164"/>
      <c r="O159" s="164"/>
      <c r="P159" s="164"/>
      <c r="Q159" s="164"/>
      <c r="R159" s="167"/>
    </row>
    <row r="160" spans="1:18" s="175" customFormat="1" ht="11.25" outlineLevel="1">
      <c r="A160" s="168" t="s">
        <v>259</v>
      </c>
      <c r="B160" s="212"/>
      <c r="C160" s="212"/>
      <c r="D160" s="213"/>
      <c r="E160" s="225"/>
      <c r="F160" s="172">
        <f>B160</f>
        <v>0</v>
      </c>
      <c r="G160" s="173">
        <f t="shared" ref="G160:R160" si="54">(F160+F161+F162+F163-F165-F166-F167-F168-F169)</f>
        <v>0</v>
      </c>
      <c r="H160" s="173">
        <f t="shared" si="54"/>
        <v>0</v>
      </c>
      <c r="I160" s="173" t="e">
        <f t="shared" si="54"/>
        <v>#REF!</v>
      </c>
      <c r="J160" s="173" t="e">
        <f t="shared" si="54"/>
        <v>#REF!</v>
      </c>
      <c r="K160" s="173" t="e">
        <f t="shared" si="54"/>
        <v>#REF!</v>
      </c>
      <c r="L160" s="173" t="e">
        <f t="shared" si="54"/>
        <v>#REF!</v>
      </c>
      <c r="M160" s="173" t="e">
        <f t="shared" si="54"/>
        <v>#REF!</v>
      </c>
      <c r="N160" s="173" t="e">
        <f t="shared" si="54"/>
        <v>#REF!</v>
      </c>
      <c r="O160" s="173" t="e">
        <f t="shared" si="54"/>
        <v>#REF!</v>
      </c>
      <c r="P160" s="173" t="e">
        <f t="shared" si="54"/>
        <v>#REF!</v>
      </c>
      <c r="Q160" s="173" t="e">
        <f t="shared" si="54"/>
        <v>#REF!</v>
      </c>
      <c r="R160" s="174" t="e">
        <f t="shared" si="54"/>
        <v>#REF!</v>
      </c>
    </row>
    <row r="161" spans="1:18" s="175" customFormat="1" ht="11.25" outlineLevel="1">
      <c r="A161" s="214" t="s">
        <v>271</v>
      </c>
      <c r="B161" s="177"/>
      <c r="C161" s="178"/>
      <c r="D161" s="178"/>
      <c r="E161" s="179"/>
      <c r="F161" s="180"/>
      <c r="G161" s="181"/>
      <c r="H161" s="181" t="e">
        <f>ROUNDDOWN(((H34+H62)/2)*85%,0)</f>
        <v>#REF!</v>
      </c>
      <c r="I161" s="181"/>
      <c r="J161" s="181"/>
      <c r="K161" s="181"/>
      <c r="L161" s="181"/>
      <c r="M161" s="181"/>
      <c r="N161" s="181"/>
      <c r="O161" s="181"/>
      <c r="P161" s="181"/>
      <c r="Q161" s="181"/>
      <c r="R161" s="182" t="e">
        <f t="shared" ref="R161:R170" si="55">SUM(F161:Q161)</f>
        <v>#REF!</v>
      </c>
    </row>
    <row r="162" spans="1:18" s="175" customFormat="1" ht="11.25" outlineLevel="1">
      <c r="A162" s="214" t="s">
        <v>248</v>
      </c>
      <c r="B162" s="183"/>
      <c r="C162" s="184"/>
      <c r="D162" s="184"/>
      <c r="E162" s="185"/>
      <c r="F162" s="180"/>
      <c r="G162" s="181"/>
      <c r="H162" s="181"/>
      <c r="I162" s="181"/>
      <c r="J162" s="181"/>
      <c r="K162" s="181"/>
      <c r="L162" s="181"/>
      <c r="M162" s="181"/>
      <c r="N162" s="181"/>
      <c r="O162" s="181"/>
      <c r="P162" s="181"/>
      <c r="Q162" s="181"/>
      <c r="R162" s="182">
        <f t="shared" si="55"/>
        <v>0</v>
      </c>
    </row>
    <row r="163" spans="1:18" s="175" customFormat="1" ht="12" outlineLevel="1" thickBot="1">
      <c r="A163" s="215" t="s">
        <v>249</v>
      </c>
      <c r="B163" s="183"/>
      <c r="C163" s="184"/>
      <c r="D163" s="184"/>
      <c r="E163" s="185"/>
      <c r="F163" s="180"/>
      <c r="G163" s="181"/>
      <c r="H163" s="181"/>
      <c r="I163" s="181"/>
      <c r="J163" s="181"/>
      <c r="K163" s="181"/>
      <c r="L163" s="181"/>
      <c r="M163" s="181"/>
      <c r="N163" s="181"/>
      <c r="O163" s="181"/>
      <c r="P163" s="181"/>
      <c r="Q163" s="181"/>
      <c r="R163" s="182">
        <f t="shared" si="55"/>
        <v>0</v>
      </c>
    </row>
    <row r="164" spans="1:18" s="151" customFormat="1" ht="12" outlineLevel="1" thickBot="1">
      <c r="A164" s="216" t="s">
        <v>250</v>
      </c>
      <c r="B164" s="183"/>
      <c r="C164" s="184"/>
      <c r="D164" s="184"/>
      <c r="E164" s="185"/>
      <c r="F164" s="191"/>
      <c r="G164" s="164"/>
      <c r="H164" s="164"/>
      <c r="I164" s="164"/>
      <c r="J164" s="164"/>
      <c r="K164" s="164"/>
      <c r="L164" s="164"/>
      <c r="M164" s="164"/>
      <c r="N164" s="164"/>
      <c r="O164" s="164"/>
      <c r="P164" s="164"/>
      <c r="Q164" s="164"/>
      <c r="R164" s="192">
        <f t="shared" si="55"/>
        <v>0</v>
      </c>
    </row>
    <row r="165" spans="1:18" s="175" customFormat="1" ht="11.25" outlineLevel="1">
      <c r="A165" s="217" t="s">
        <v>251</v>
      </c>
      <c r="B165" s="183"/>
      <c r="C165" s="184"/>
      <c r="D165" s="184"/>
      <c r="E165" s="185"/>
      <c r="F165" s="180"/>
      <c r="G165" s="181"/>
      <c r="H165" s="181"/>
      <c r="I165" s="181"/>
      <c r="J165" s="181"/>
      <c r="K165" s="181"/>
      <c r="L165" s="181"/>
      <c r="M165" s="181"/>
      <c r="N165" s="181"/>
      <c r="O165" s="181"/>
      <c r="P165" s="181"/>
      <c r="Q165" s="181" t="e">
        <f>+Q160</f>
        <v>#REF!</v>
      </c>
      <c r="R165" s="182" t="e">
        <f t="shared" si="55"/>
        <v>#REF!</v>
      </c>
    </row>
    <row r="166" spans="1:18" s="175" customFormat="1" ht="11.25" outlineLevel="1">
      <c r="A166" s="218" t="s">
        <v>252</v>
      </c>
      <c r="B166" s="183"/>
      <c r="C166" s="184"/>
      <c r="D166" s="184"/>
      <c r="E166" s="185"/>
      <c r="F166" s="180"/>
      <c r="G166" s="181"/>
      <c r="H166" s="181"/>
      <c r="I166" s="181"/>
      <c r="J166" s="181"/>
      <c r="K166" s="181"/>
      <c r="L166" s="181"/>
      <c r="M166" s="181"/>
      <c r="N166" s="181"/>
      <c r="O166" s="181"/>
      <c r="P166" s="181"/>
      <c r="Q166" s="181"/>
      <c r="R166" s="182">
        <f t="shared" si="55"/>
        <v>0</v>
      </c>
    </row>
    <row r="167" spans="1:18" s="175" customFormat="1" ht="11.25" outlineLevel="1">
      <c r="A167" s="218" t="s">
        <v>253</v>
      </c>
      <c r="B167" s="183"/>
      <c r="C167" s="184"/>
      <c r="D167" s="184"/>
      <c r="E167" s="185"/>
      <c r="F167" s="180"/>
      <c r="G167" s="181"/>
      <c r="H167" s="181"/>
      <c r="I167" s="181"/>
      <c r="J167" s="181"/>
      <c r="K167" s="181"/>
      <c r="L167" s="181"/>
      <c r="M167" s="181"/>
      <c r="N167" s="181"/>
      <c r="O167" s="181"/>
      <c r="P167" s="181"/>
      <c r="Q167" s="181"/>
      <c r="R167" s="182">
        <f t="shared" si="55"/>
        <v>0</v>
      </c>
    </row>
    <row r="168" spans="1:18" s="175" customFormat="1" ht="11.25" outlineLevel="1">
      <c r="A168" s="218" t="s">
        <v>254</v>
      </c>
      <c r="B168" s="183"/>
      <c r="C168" s="184"/>
      <c r="D168" s="184"/>
      <c r="E168" s="185"/>
      <c r="F168" s="230"/>
      <c r="G168" s="181"/>
      <c r="H168" s="181"/>
      <c r="I168" s="181"/>
      <c r="J168" s="181"/>
      <c r="K168" s="181"/>
      <c r="L168" s="181"/>
      <c r="M168" s="181"/>
      <c r="N168" s="181"/>
      <c r="O168" s="181"/>
      <c r="P168" s="181"/>
      <c r="Q168" s="181"/>
      <c r="R168" s="182">
        <f t="shared" si="55"/>
        <v>0</v>
      </c>
    </row>
    <row r="169" spans="1:18" s="175" customFormat="1" ht="11.25" outlineLevel="1">
      <c r="A169" s="218" t="s">
        <v>255</v>
      </c>
      <c r="B169" s="183"/>
      <c r="C169" s="184"/>
      <c r="D169" s="184"/>
      <c r="E169" s="185"/>
      <c r="F169" s="180"/>
      <c r="G169" s="181"/>
      <c r="H169" s="181"/>
      <c r="I169" s="181"/>
      <c r="J169" s="181"/>
      <c r="K169" s="181"/>
      <c r="L169" s="181"/>
      <c r="M169" s="181"/>
      <c r="N169" s="181"/>
      <c r="O169" s="181"/>
      <c r="P169" s="181"/>
      <c r="Q169" s="181"/>
      <c r="R169" s="182">
        <f t="shared" si="55"/>
        <v>0</v>
      </c>
    </row>
    <row r="170" spans="1:18" s="175" customFormat="1" ht="11.25" outlineLevel="1">
      <c r="A170" s="221" t="s">
        <v>256</v>
      </c>
      <c r="B170" s="201"/>
      <c r="C170" s="202"/>
      <c r="D170" s="202"/>
      <c r="E170" s="203"/>
      <c r="F170" s="204">
        <f t="shared" ref="F170:Q170" si="56">(F160+G160)/2*F$3</f>
        <v>0</v>
      </c>
      <c r="G170" s="204">
        <f t="shared" si="56"/>
        <v>0</v>
      </c>
      <c r="H170" s="204" t="e">
        <f t="shared" si="56"/>
        <v>#REF!</v>
      </c>
      <c r="I170" s="204" t="e">
        <f t="shared" si="56"/>
        <v>#REF!</v>
      </c>
      <c r="J170" s="204" t="e">
        <f t="shared" si="56"/>
        <v>#REF!</v>
      </c>
      <c r="K170" s="204" t="e">
        <f t="shared" si="56"/>
        <v>#REF!</v>
      </c>
      <c r="L170" s="204" t="e">
        <f t="shared" si="56"/>
        <v>#REF!</v>
      </c>
      <c r="M170" s="204" t="e">
        <f t="shared" si="56"/>
        <v>#REF!</v>
      </c>
      <c r="N170" s="204" t="e">
        <f t="shared" si="56"/>
        <v>#REF!</v>
      </c>
      <c r="O170" s="204" t="e">
        <f t="shared" si="56"/>
        <v>#REF!</v>
      </c>
      <c r="P170" s="204" t="e">
        <f t="shared" si="56"/>
        <v>#REF!</v>
      </c>
      <c r="Q170" s="204" t="e">
        <f t="shared" si="56"/>
        <v>#REF!</v>
      </c>
      <c r="R170" s="205" t="e">
        <f t="shared" si="55"/>
        <v>#REF!</v>
      </c>
    </row>
    <row r="171" spans="1:18" s="175" customFormat="1" ht="12" outlineLevel="1" thickBot="1">
      <c r="A171" s="206" t="s">
        <v>257</v>
      </c>
      <c r="B171" s="207"/>
      <c r="C171" s="207"/>
      <c r="D171" s="208"/>
      <c r="E171" s="207"/>
      <c r="F171" s="209">
        <f t="shared" ref="F171:Q171" si="57">F170/F$3</f>
        <v>0</v>
      </c>
      <c r="G171" s="210">
        <f t="shared" si="57"/>
        <v>0</v>
      </c>
      <c r="H171" s="210" t="e">
        <f t="shared" si="57"/>
        <v>#REF!</v>
      </c>
      <c r="I171" s="210" t="e">
        <f t="shared" si="57"/>
        <v>#REF!</v>
      </c>
      <c r="J171" s="210" t="e">
        <f t="shared" si="57"/>
        <v>#REF!</v>
      </c>
      <c r="K171" s="210" t="e">
        <f t="shared" si="57"/>
        <v>#REF!</v>
      </c>
      <c r="L171" s="210" t="e">
        <f t="shared" si="57"/>
        <v>#REF!</v>
      </c>
      <c r="M171" s="210" t="e">
        <f t="shared" si="57"/>
        <v>#REF!</v>
      </c>
      <c r="N171" s="210" t="e">
        <f t="shared" si="57"/>
        <v>#REF!</v>
      </c>
      <c r="O171" s="210" t="e">
        <f t="shared" si="57"/>
        <v>#REF!</v>
      </c>
      <c r="P171" s="210" t="e">
        <f t="shared" si="57"/>
        <v>#REF!</v>
      </c>
      <c r="Q171" s="210" t="e">
        <f t="shared" si="57"/>
        <v>#REF!</v>
      </c>
      <c r="R171" s="211" t="e">
        <f>R170/R$3</f>
        <v>#REF!</v>
      </c>
    </row>
    <row r="172" spans="1:18" s="151" customFormat="1" ht="12" thickBot="1">
      <c r="A172" s="160" t="s">
        <v>272</v>
      </c>
      <c r="B172" s="161"/>
      <c r="C172" s="161"/>
      <c r="D172" s="161"/>
      <c r="E172" s="161"/>
      <c r="F172" s="161"/>
      <c r="G172" s="161"/>
      <c r="H172" s="161"/>
      <c r="I172" s="161"/>
      <c r="J172" s="161"/>
      <c r="K172" s="161"/>
      <c r="L172" s="161"/>
      <c r="M172" s="161"/>
      <c r="N172" s="161"/>
      <c r="O172" s="161"/>
      <c r="P172" s="161"/>
      <c r="Q172" s="161"/>
      <c r="R172" s="162"/>
    </row>
    <row r="173" spans="1:18" s="151" customFormat="1" ht="12" outlineLevel="1" thickBot="1">
      <c r="A173" s="163" t="s">
        <v>245</v>
      </c>
      <c r="B173" s="164"/>
      <c r="C173" s="164"/>
      <c r="D173" s="165"/>
      <c r="E173" s="166"/>
      <c r="F173" s="164"/>
      <c r="G173" s="164"/>
      <c r="H173" s="164"/>
      <c r="I173" s="164"/>
      <c r="J173" s="164"/>
      <c r="K173" s="164"/>
      <c r="L173" s="164"/>
      <c r="M173" s="164"/>
      <c r="N173" s="164"/>
      <c r="O173" s="164"/>
      <c r="P173" s="164"/>
      <c r="Q173" s="164"/>
      <c r="R173" s="167"/>
    </row>
    <row r="174" spans="1:18" s="175" customFormat="1" ht="11.25" outlineLevel="1">
      <c r="A174" s="168" t="s">
        <v>259</v>
      </c>
      <c r="B174" s="212"/>
      <c r="C174" s="212"/>
      <c r="D174" s="213"/>
      <c r="E174" s="225"/>
      <c r="F174" s="172">
        <f>B174</f>
        <v>0</v>
      </c>
      <c r="G174" s="173">
        <f t="shared" ref="G174:R174" si="58">(F174+F175+F176+F177-F179-F180-F181-F182-F183)</f>
        <v>0</v>
      </c>
      <c r="H174" s="173">
        <f t="shared" si="58"/>
        <v>0</v>
      </c>
      <c r="I174" s="173" t="e">
        <f t="shared" si="58"/>
        <v>#REF!</v>
      </c>
      <c r="J174" s="173" t="e">
        <f t="shared" si="58"/>
        <v>#REF!</v>
      </c>
      <c r="K174" s="173" t="e">
        <f t="shared" si="58"/>
        <v>#REF!</v>
      </c>
      <c r="L174" s="173" t="e">
        <f t="shared" si="58"/>
        <v>#REF!</v>
      </c>
      <c r="M174" s="173" t="e">
        <f t="shared" si="58"/>
        <v>#REF!</v>
      </c>
      <c r="N174" s="173" t="e">
        <f t="shared" si="58"/>
        <v>#REF!</v>
      </c>
      <c r="O174" s="173" t="e">
        <f t="shared" si="58"/>
        <v>#REF!</v>
      </c>
      <c r="P174" s="173" t="e">
        <f t="shared" si="58"/>
        <v>#REF!</v>
      </c>
      <c r="Q174" s="173" t="e">
        <f t="shared" si="58"/>
        <v>#REF!</v>
      </c>
      <c r="R174" s="174" t="e">
        <f t="shared" si="58"/>
        <v>#REF!</v>
      </c>
    </row>
    <row r="175" spans="1:18" s="175" customFormat="1" ht="11.25" outlineLevel="1">
      <c r="A175" s="214" t="s">
        <v>271</v>
      </c>
      <c r="B175" s="177"/>
      <c r="C175" s="178"/>
      <c r="D175" s="178"/>
      <c r="E175" s="179"/>
      <c r="F175" s="180"/>
      <c r="G175" s="181"/>
      <c r="H175" s="181" t="e">
        <f>ROUNDDOWN(((H34+H62)/2)*85%,0)</f>
        <v>#REF!</v>
      </c>
      <c r="I175" s="181"/>
      <c r="J175" s="181"/>
      <c r="K175" s="181"/>
      <c r="L175" s="181"/>
      <c r="M175" s="181"/>
      <c r="N175" s="181"/>
      <c r="O175" s="181"/>
      <c r="P175" s="181"/>
      <c r="Q175" s="181"/>
      <c r="R175" s="182" t="e">
        <f t="shared" ref="R175:R184" si="59">SUM(F175:Q175)</f>
        <v>#REF!</v>
      </c>
    </row>
    <row r="176" spans="1:18" s="175" customFormat="1" ht="11.25" outlineLevel="1">
      <c r="A176" s="214" t="s">
        <v>248</v>
      </c>
      <c r="B176" s="183"/>
      <c r="C176" s="184"/>
      <c r="D176" s="184"/>
      <c r="E176" s="185"/>
      <c r="F176" s="180"/>
      <c r="G176" s="181"/>
      <c r="H176" s="181"/>
      <c r="I176" s="181"/>
      <c r="J176" s="181"/>
      <c r="K176" s="181"/>
      <c r="L176" s="181"/>
      <c r="M176" s="181"/>
      <c r="N176" s="181"/>
      <c r="O176" s="181"/>
      <c r="P176" s="181"/>
      <c r="Q176" s="181"/>
      <c r="R176" s="182">
        <f t="shared" si="59"/>
        <v>0</v>
      </c>
    </row>
    <row r="177" spans="1:18" s="175" customFormat="1" ht="12" outlineLevel="1" thickBot="1">
      <c r="A177" s="215" t="s">
        <v>249</v>
      </c>
      <c r="B177" s="183"/>
      <c r="C177" s="184"/>
      <c r="D177" s="184"/>
      <c r="E177" s="185"/>
      <c r="F177" s="180"/>
      <c r="G177" s="181"/>
      <c r="H177" s="181"/>
      <c r="I177" s="181"/>
      <c r="J177" s="181"/>
      <c r="K177" s="181"/>
      <c r="L177" s="181"/>
      <c r="M177" s="181"/>
      <c r="N177" s="181"/>
      <c r="O177" s="181"/>
      <c r="P177" s="181"/>
      <c r="Q177" s="181"/>
      <c r="R177" s="182">
        <f t="shared" si="59"/>
        <v>0</v>
      </c>
    </row>
    <row r="178" spans="1:18" s="151" customFormat="1" ht="12" outlineLevel="1" thickBot="1">
      <c r="A178" s="216" t="s">
        <v>250</v>
      </c>
      <c r="B178" s="183"/>
      <c r="C178" s="184"/>
      <c r="D178" s="184"/>
      <c r="E178" s="185"/>
      <c r="F178" s="191"/>
      <c r="G178" s="164"/>
      <c r="H178" s="164"/>
      <c r="I178" s="164"/>
      <c r="J178" s="164"/>
      <c r="K178" s="164"/>
      <c r="L178" s="164"/>
      <c r="M178" s="164"/>
      <c r="N178" s="164"/>
      <c r="O178" s="164"/>
      <c r="P178" s="164"/>
      <c r="Q178" s="164"/>
      <c r="R178" s="192">
        <f t="shared" si="59"/>
        <v>0</v>
      </c>
    </row>
    <row r="179" spans="1:18" s="175" customFormat="1" ht="11.25" outlineLevel="1">
      <c r="A179" s="217" t="s">
        <v>251</v>
      </c>
      <c r="B179" s="183"/>
      <c r="C179" s="184"/>
      <c r="D179" s="184"/>
      <c r="E179" s="185"/>
      <c r="F179" s="180"/>
      <c r="G179" s="181"/>
      <c r="H179" s="181"/>
      <c r="I179" s="181"/>
      <c r="J179" s="181"/>
      <c r="K179" s="181"/>
      <c r="L179" s="181"/>
      <c r="M179" s="181"/>
      <c r="N179" s="181"/>
      <c r="O179" s="181"/>
      <c r="P179" s="181"/>
      <c r="Q179" s="181" t="e">
        <f>+Q174</f>
        <v>#REF!</v>
      </c>
      <c r="R179" s="182" t="e">
        <f t="shared" si="59"/>
        <v>#REF!</v>
      </c>
    </row>
    <row r="180" spans="1:18" s="175" customFormat="1" ht="11.25" outlineLevel="1">
      <c r="A180" s="218" t="s">
        <v>252</v>
      </c>
      <c r="B180" s="183"/>
      <c r="C180" s="184"/>
      <c r="D180" s="184"/>
      <c r="E180" s="185"/>
      <c r="F180" s="180"/>
      <c r="G180" s="181"/>
      <c r="H180" s="181"/>
      <c r="I180" s="181"/>
      <c r="J180" s="181"/>
      <c r="K180" s="181"/>
      <c r="L180" s="181"/>
      <c r="M180" s="181"/>
      <c r="N180" s="181"/>
      <c r="O180" s="181"/>
      <c r="P180" s="181"/>
      <c r="Q180" s="181"/>
      <c r="R180" s="182">
        <f t="shared" si="59"/>
        <v>0</v>
      </c>
    </row>
    <row r="181" spans="1:18" s="175" customFormat="1" ht="11.25" outlineLevel="1">
      <c r="A181" s="218" t="s">
        <v>307</v>
      </c>
      <c r="B181" s="183"/>
      <c r="C181" s="184"/>
      <c r="D181" s="184"/>
      <c r="E181" s="185"/>
      <c r="F181" s="180"/>
      <c r="G181" s="181"/>
      <c r="H181" s="181"/>
      <c r="I181" s="181"/>
      <c r="J181" s="181"/>
      <c r="K181" s="181"/>
      <c r="L181" s="181"/>
      <c r="M181" s="181"/>
      <c r="N181" s="181"/>
      <c r="O181" s="181"/>
      <c r="P181" s="181"/>
      <c r="Q181" s="181"/>
      <c r="R181" s="182">
        <f t="shared" si="59"/>
        <v>0</v>
      </c>
    </row>
    <row r="182" spans="1:18" s="175" customFormat="1" ht="11.25" outlineLevel="1">
      <c r="A182" s="218" t="s">
        <v>254</v>
      </c>
      <c r="B182" s="183"/>
      <c r="C182" s="184"/>
      <c r="D182" s="184"/>
      <c r="E182" s="185"/>
      <c r="F182" s="230"/>
      <c r="G182" s="181"/>
      <c r="H182" s="181"/>
      <c r="I182" s="181"/>
      <c r="J182" s="181"/>
      <c r="K182" s="181"/>
      <c r="L182" s="181"/>
      <c r="M182" s="181"/>
      <c r="N182" s="181"/>
      <c r="O182" s="181"/>
      <c r="P182" s="181"/>
      <c r="Q182" s="181"/>
      <c r="R182" s="182">
        <f t="shared" si="59"/>
        <v>0</v>
      </c>
    </row>
    <row r="183" spans="1:18" s="175" customFormat="1" ht="11.25" outlineLevel="1">
      <c r="A183" s="218" t="s">
        <v>255</v>
      </c>
      <c r="B183" s="183"/>
      <c r="C183" s="184"/>
      <c r="D183" s="184"/>
      <c r="E183" s="185"/>
      <c r="F183" s="180"/>
      <c r="G183" s="181"/>
      <c r="H183" s="181"/>
      <c r="I183" s="181"/>
      <c r="J183" s="181"/>
      <c r="K183" s="181"/>
      <c r="L183" s="181"/>
      <c r="M183" s="181"/>
      <c r="N183" s="181"/>
      <c r="O183" s="181"/>
      <c r="P183" s="181"/>
      <c r="Q183" s="181"/>
      <c r="R183" s="182">
        <f t="shared" si="59"/>
        <v>0</v>
      </c>
    </row>
    <row r="184" spans="1:18" s="175" customFormat="1" ht="11.25" outlineLevel="1">
      <c r="A184" s="221" t="s">
        <v>256</v>
      </c>
      <c r="B184" s="201"/>
      <c r="C184" s="202"/>
      <c r="D184" s="202"/>
      <c r="E184" s="203"/>
      <c r="F184" s="204">
        <f t="shared" ref="F184:Q184" si="60">(F174+G174)/2*F$3</f>
        <v>0</v>
      </c>
      <c r="G184" s="204">
        <f t="shared" si="60"/>
        <v>0</v>
      </c>
      <c r="H184" s="204" t="e">
        <f t="shared" si="60"/>
        <v>#REF!</v>
      </c>
      <c r="I184" s="204" t="e">
        <f t="shared" si="60"/>
        <v>#REF!</v>
      </c>
      <c r="J184" s="204" t="e">
        <f t="shared" si="60"/>
        <v>#REF!</v>
      </c>
      <c r="K184" s="204" t="e">
        <f t="shared" si="60"/>
        <v>#REF!</v>
      </c>
      <c r="L184" s="204" t="e">
        <f t="shared" si="60"/>
        <v>#REF!</v>
      </c>
      <c r="M184" s="204" t="e">
        <f t="shared" si="60"/>
        <v>#REF!</v>
      </c>
      <c r="N184" s="204" t="e">
        <f t="shared" si="60"/>
        <v>#REF!</v>
      </c>
      <c r="O184" s="204" t="e">
        <f t="shared" si="60"/>
        <v>#REF!</v>
      </c>
      <c r="P184" s="204" t="e">
        <f t="shared" si="60"/>
        <v>#REF!</v>
      </c>
      <c r="Q184" s="204" t="e">
        <f t="shared" si="60"/>
        <v>#REF!</v>
      </c>
      <c r="R184" s="205" t="e">
        <f t="shared" si="59"/>
        <v>#REF!</v>
      </c>
    </row>
    <row r="185" spans="1:18" s="175" customFormat="1" ht="12" outlineLevel="1" thickBot="1">
      <c r="A185" s="206" t="s">
        <v>257</v>
      </c>
      <c r="B185" s="207"/>
      <c r="C185" s="207"/>
      <c r="D185" s="208"/>
      <c r="E185" s="207"/>
      <c r="F185" s="209">
        <f t="shared" ref="F185:R185" si="61">F184/F$3</f>
        <v>0</v>
      </c>
      <c r="G185" s="210">
        <f t="shared" si="61"/>
        <v>0</v>
      </c>
      <c r="H185" s="210" t="e">
        <f t="shared" si="61"/>
        <v>#REF!</v>
      </c>
      <c r="I185" s="210" t="e">
        <f t="shared" si="61"/>
        <v>#REF!</v>
      </c>
      <c r="J185" s="210" t="e">
        <f t="shared" si="61"/>
        <v>#REF!</v>
      </c>
      <c r="K185" s="210" t="e">
        <f t="shared" si="61"/>
        <v>#REF!</v>
      </c>
      <c r="L185" s="210" t="e">
        <f t="shared" si="61"/>
        <v>#REF!</v>
      </c>
      <c r="M185" s="210" t="e">
        <f t="shared" si="61"/>
        <v>#REF!</v>
      </c>
      <c r="N185" s="210" t="e">
        <f t="shared" si="61"/>
        <v>#REF!</v>
      </c>
      <c r="O185" s="210" t="e">
        <f t="shared" si="61"/>
        <v>#REF!</v>
      </c>
      <c r="P185" s="210" t="e">
        <f t="shared" si="61"/>
        <v>#REF!</v>
      </c>
      <c r="Q185" s="210" t="e">
        <f t="shared" si="61"/>
        <v>#REF!</v>
      </c>
      <c r="R185" s="211" t="e">
        <f t="shared" si="61"/>
        <v>#REF!</v>
      </c>
    </row>
    <row r="186" spans="1:18" s="237" customFormat="1" ht="11.25">
      <c r="A186" s="231"/>
      <c r="B186" s="232"/>
      <c r="C186" s="232"/>
      <c r="D186" s="233"/>
      <c r="E186" s="232"/>
      <c r="F186" s="234"/>
      <c r="G186" s="235"/>
      <c r="H186" s="235"/>
      <c r="I186" s="235"/>
      <c r="J186" s="235"/>
      <c r="K186" s="235"/>
      <c r="L186" s="235"/>
      <c r="M186" s="235"/>
      <c r="N186" s="235"/>
      <c r="O186" s="235"/>
      <c r="P186" s="235"/>
      <c r="Q186" s="235"/>
      <c r="R186" s="236"/>
    </row>
    <row r="187" spans="1:18">
      <c r="A187" s="238" t="s">
        <v>273</v>
      </c>
      <c r="B187" s="239"/>
      <c r="C187" s="240"/>
      <c r="D187" s="241"/>
      <c r="E187" s="242"/>
      <c r="F187" s="243" t="e">
        <f>SUM(F16,F30,F44,F58,F72,F86,F100,F114,F128,F142,F156,F170,F184)</f>
        <v>#REF!</v>
      </c>
      <c r="G187" s="244" t="e">
        <f t="shared" ref="G187:R187" si="62">SUM(G16,G30,G44,G58,G72,G86,G100,G114,G128,G142,G156,G170,G184)</f>
        <v>#REF!</v>
      </c>
      <c r="H187" s="244" t="e">
        <f t="shared" si="62"/>
        <v>#REF!</v>
      </c>
      <c r="I187" s="244" t="e">
        <f t="shared" si="62"/>
        <v>#REF!</v>
      </c>
      <c r="J187" s="244" t="e">
        <f t="shared" si="62"/>
        <v>#REF!</v>
      </c>
      <c r="K187" s="244" t="e">
        <f t="shared" si="62"/>
        <v>#REF!</v>
      </c>
      <c r="L187" s="244" t="e">
        <f t="shared" si="62"/>
        <v>#REF!</v>
      </c>
      <c r="M187" s="244" t="e">
        <f t="shared" si="62"/>
        <v>#REF!</v>
      </c>
      <c r="N187" s="244" t="e">
        <f t="shared" si="62"/>
        <v>#REF!</v>
      </c>
      <c r="O187" s="244" t="e">
        <f t="shared" si="62"/>
        <v>#REF!</v>
      </c>
      <c r="P187" s="244" t="e">
        <f t="shared" si="62"/>
        <v>#REF!</v>
      </c>
      <c r="Q187" s="244" t="e">
        <f t="shared" si="62"/>
        <v>#REF!</v>
      </c>
      <c r="R187" s="245" t="e">
        <f t="shared" si="62"/>
        <v>#REF!</v>
      </c>
    </row>
    <row r="188" spans="1:18" s="175" customFormat="1" ht="11.25">
      <c r="A188" s="246" t="s">
        <v>257</v>
      </c>
      <c r="B188" s="247"/>
      <c r="C188" s="247"/>
      <c r="D188" s="248"/>
      <c r="E188" s="247"/>
      <c r="F188" s="249" t="e">
        <f>F187/F$3</f>
        <v>#REF!</v>
      </c>
      <c r="G188" s="250" t="e">
        <f t="shared" ref="G188:R188" si="63">G187/G$3</f>
        <v>#REF!</v>
      </c>
      <c r="H188" s="250" t="e">
        <f t="shared" si="63"/>
        <v>#REF!</v>
      </c>
      <c r="I188" s="250" t="e">
        <f t="shared" si="63"/>
        <v>#REF!</v>
      </c>
      <c r="J188" s="250" t="e">
        <f t="shared" si="63"/>
        <v>#REF!</v>
      </c>
      <c r="K188" s="250" t="e">
        <f t="shared" si="63"/>
        <v>#REF!</v>
      </c>
      <c r="L188" s="250" t="e">
        <f t="shared" si="63"/>
        <v>#REF!</v>
      </c>
      <c r="M188" s="250" t="e">
        <f t="shared" si="63"/>
        <v>#REF!</v>
      </c>
      <c r="N188" s="250" t="e">
        <f t="shared" si="63"/>
        <v>#REF!</v>
      </c>
      <c r="O188" s="250" t="e">
        <f t="shared" si="63"/>
        <v>#REF!</v>
      </c>
      <c r="P188" s="250" t="e">
        <f t="shared" si="63"/>
        <v>#REF!</v>
      </c>
      <c r="Q188" s="250" t="e">
        <f t="shared" si="63"/>
        <v>#REF!</v>
      </c>
      <c r="R188" s="251" t="e">
        <f t="shared" si="63"/>
        <v>#REF!</v>
      </c>
    </row>
    <row r="189" spans="1:18" ht="13.5" thickBot="1">
      <c r="A189" s="252" t="s">
        <v>274</v>
      </c>
      <c r="B189" s="253" t="e">
        <f>SUM(B6,B20,B34,B48,B62,B76,B90,B104,B118,B132,B146,B160,B174)</f>
        <v>#REF!</v>
      </c>
      <c r="C189" s="253">
        <f>SUM(C6,C20,C34,C48,C62,C76,C90,C104,C118,C132,C146,C160,C174)</f>
        <v>0</v>
      </c>
      <c r="D189" s="254" t="e">
        <f>SUM(D6,D20,D34,D48,D62,D76,D90,D104,D118,D132,D146,D160,D174)</f>
        <v>#REF!</v>
      </c>
      <c r="E189" s="255" t="e">
        <f>SUM(E6,E20,E34,E48,E62,E76,E90,E104,E118,E132,E146,E160,E174)</f>
        <v>#REF!</v>
      </c>
      <c r="F189" s="256" t="e">
        <f>SUM(F6,F20,F34,F48,F62,F76,F90,F104,F118,F132,F146,F160,F174)</f>
        <v>#REF!</v>
      </c>
      <c r="G189" s="257" t="e">
        <f t="shared" ref="G189:R189" si="64">SUM(G6,G20,G34,G48,G62,G76,G90,G104,G118,G132,G146,G160,G174)</f>
        <v>#REF!</v>
      </c>
      <c r="H189" s="257" t="e">
        <f t="shared" si="64"/>
        <v>#REF!</v>
      </c>
      <c r="I189" s="257" t="e">
        <f t="shared" si="64"/>
        <v>#REF!</v>
      </c>
      <c r="J189" s="257" t="e">
        <f t="shared" si="64"/>
        <v>#REF!</v>
      </c>
      <c r="K189" s="257" t="e">
        <f t="shared" si="64"/>
        <v>#REF!</v>
      </c>
      <c r="L189" s="257" t="e">
        <f t="shared" si="64"/>
        <v>#REF!</v>
      </c>
      <c r="M189" s="257" t="e">
        <f t="shared" si="64"/>
        <v>#REF!</v>
      </c>
      <c r="N189" s="257" t="e">
        <f t="shared" si="64"/>
        <v>#REF!</v>
      </c>
      <c r="O189" s="257" t="e">
        <f t="shared" si="64"/>
        <v>#REF!</v>
      </c>
      <c r="P189" s="257" t="e">
        <f t="shared" si="64"/>
        <v>#REF!</v>
      </c>
      <c r="Q189" s="257" t="e">
        <f t="shared" si="64"/>
        <v>#REF!</v>
      </c>
      <c r="R189" s="258" t="e">
        <f t="shared" si="64"/>
        <v>#REF!</v>
      </c>
    </row>
    <row r="190" spans="1:18" s="264" customFormat="1" ht="11.25" hidden="1">
      <c r="A190" s="259">
        <v>38139</v>
      </c>
      <c r="B190" s="260"/>
      <c r="C190" s="260"/>
      <c r="D190" s="261"/>
      <c r="E190" s="262" t="s">
        <v>275</v>
      </c>
      <c r="F190" s="260">
        <f t="shared" ref="F190:N190" si="65">(F175-F179-F180-F181-F182-F183+F161-F169-F168-F167-F166-F165)*$D$216</f>
        <v>0</v>
      </c>
      <c r="G190" s="260">
        <f t="shared" si="65"/>
        <v>0</v>
      </c>
      <c r="H190" s="260" t="e">
        <f t="shared" si="65"/>
        <v>#REF!</v>
      </c>
      <c r="I190" s="260">
        <f t="shared" si="65"/>
        <v>0</v>
      </c>
      <c r="J190" s="260">
        <f t="shared" si="65"/>
        <v>0</v>
      </c>
      <c r="K190" s="260">
        <f t="shared" si="65"/>
        <v>0</v>
      </c>
      <c r="L190" s="260">
        <f t="shared" si="65"/>
        <v>0</v>
      </c>
      <c r="M190" s="260">
        <f t="shared" si="65"/>
        <v>0</v>
      </c>
      <c r="N190" s="260">
        <f t="shared" si="65"/>
        <v>0</v>
      </c>
      <c r="O190" s="260">
        <f>(O175-O179-O180-O181-O182-O183+O161-O169-O168-O167-O166-O165)*SUM($D$198:$D$204)</f>
        <v>0</v>
      </c>
      <c r="P190" s="260">
        <f>(P175-P179-P180-P181-P182-P183+P161-P169-P168-P167-P166-P165)*SUM($D$198:$D$202)</f>
        <v>0</v>
      </c>
      <c r="Q190" s="260" t="e">
        <f>(Q175-Q179-Q180-Q181-Q182-Q183+Q161-Q169-Q168-Q167-Q166-Q165)*SUM($D$198:$D$199)</f>
        <v>#REF!</v>
      </c>
      <c r="R190" s="263" t="e">
        <f>SUM(F190:Q190)</f>
        <v>#REF!</v>
      </c>
    </row>
    <row r="191" spans="1:18" s="264" customFormat="1" ht="11.25" hidden="1">
      <c r="A191" s="259">
        <v>38261</v>
      </c>
      <c r="B191" s="260"/>
      <c r="C191" s="260"/>
      <c r="D191" s="261"/>
      <c r="E191" s="262" t="s">
        <v>276</v>
      </c>
      <c r="F191" s="260">
        <f t="shared" ref="F191:N191" si="66">(F175-F179-F180-F181-F182-F183+F161-F169-F168-F167-F166-F165)*$F$216</f>
        <v>0</v>
      </c>
      <c r="G191" s="260">
        <f t="shared" si="66"/>
        <v>0</v>
      </c>
      <c r="H191" s="260" t="e">
        <f t="shared" si="66"/>
        <v>#REF!</v>
      </c>
      <c r="I191" s="260">
        <f t="shared" si="66"/>
        <v>0</v>
      </c>
      <c r="J191" s="260">
        <f t="shared" si="66"/>
        <v>0</v>
      </c>
      <c r="K191" s="260">
        <f t="shared" si="66"/>
        <v>0</v>
      </c>
      <c r="L191" s="260">
        <f t="shared" si="66"/>
        <v>0</v>
      </c>
      <c r="M191" s="260">
        <f t="shared" si="66"/>
        <v>0</v>
      </c>
      <c r="N191" s="260">
        <f t="shared" si="66"/>
        <v>0</v>
      </c>
      <c r="O191" s="260">
        <f>(O175-O179-O180-O181-O182-O183+O161-O169-O168-O167-O166-O165)*SUM($F$198:$F$204)</f>
        <v>0</v>
      </c>
      <c r="P191" s="260">
        <f>(P175-P179-P180-P181-P182-P183+P161-P169-P168-P167-P166-P165)*SUM($F$198:$F$202)</f>
        <v>0</v>
      </c>
      <c r="Q191" s="260" t="e">
        <f>(Q175-Q179-Q180-Q181-Q182-Q183+Q161-Q169-Q168-Q167-Q166-Q165)*SUM($F$198:$F$199)</f>
        <v>#REF!</v>
      </c>
      <c r="R191" s="263" t="e">
        <f>SUM(F191:Q191)</f>
        <v>#REF!</v>
      </c>
    </row>
    <row r="192" spans="1:18" s="264" customFormat="1" ht="11.25" hidden="1">
      <c r="A192" s="265"/>
      <c r="B192" s="260"/>
      <c r="C192" s="260"/>
      <c r="D192" s="261"/>
      <c r="E192" s="266"/>
      <c r="F192" s="260"/>
      <c r="G192" s="260"/>
      <c r="H192" s="260"/>
      <c r="I192" s="260"/>
      <c r="J192" s="260"/>
      <c r="K192" s="260"/>
      <c r="L192" s="260"/>
      <c r="M192" s="260"/>
      <c r="N192" s="260"/>
      <c r="O192" s="260"/>
      <c r="P192" s="260"/>
      <c r="Q192" s="260"/>
      <c r="R192" s="263"/>
    </row>
    <row r="193" spans="1:18" s="264" customFormat="1" ht="11.25" hidden="1">
      <c r="A193" s="265"/>
      <c r="B193" s="260"/>
      <c r="C193" s="260"/>
      <c r="D193" s="261"/>
      <c r="E193" s="266"/>
      <c r="F193" s="260"/>
      <c r="G193" s="260"/>
      <c r="H193" s="260"/>
      <c r="I193" s="260"/>
      <c r="J193" s="260"/>
      <c r="K193" s="260"/>
      <c r="L193" s="260"/>
      <c r="M193" s="260"/>
      <c r="N193" s="260"/>
      <c r="O193" s="260"/>
      <c r="P193" s="260"/>
      <c r="Q193" s="260"/>
      <c r="R193" s="263"/>
    </row>
    <row r="194" spans="1:18" s="264" customFormat="1" ht="11.25" hidden="1">
      <c r="A194" s="265"/>
      <c r="B194" s="260"/>
      <c r="C194" s="260"/>
      <c r="D194" s="261"/>
      <c r="E194" s="266"/>
      <c r="F194" s="260"/>
      <c r="G194" s="260"/>
      <c r="H194" s="260"/>
      <c r="I194" s="260"/>
      <c r="J194" s="260"/>
      <c r="K194" s="260"/>
      <c r="L194" s="260"/>
      <c r="M194" s="260"/>
      <c r="N194" s="260"/>
      <c r="O194" s="260"/>
      <c r="P194" s="260"/>
      <c r="Q194" s="260"/>
      <c r="R194" s="263"/>
    </row>
    <row r="195" spans="1:18" s="264" customFormat="1" ht="11.25" hidden="1">
      <c r="A195" s="265"/>
      <c r="B195" s="260"/>
      <c r="C195" s="260"/>
      <c r="D195" s="261"/>
      <c r="E195" s="266"/>
      <c r="F195" s="260"/>
      <c r="G195" s="260"/>
      <c r="H195" s="260"/>
      <c r="I195" s="260"/>
      <c r="J195" s="260"/>
      <c r="K195" s="260"/>
      <c r="L195" s="260"/>
      <c r="M195" s="260"/>
      <c r="N195" s="260"/>
      <c r="O195" s="260"/>
      <c r="P195" s="260"/>
      <c r="Q195" s="260"/>
      <c r="R195" s="263"/>
    </row>
    <row r="196" spans="1:18" hidden="1">
      <c r="A196" s="267"/>
      <c r="B196" s="268"/>
      <c r="C196" s="268"/>
      <c r="D196" s="269"/>
      <c r="E196" s="270"/>
      <c r="F196" s="268"/>
      <c r="G196" s="268"/>
      <c r="H196" s="268"/>
      <c r="I196" s="268"/>
      <c r="J196" s="268"/>
      <c r="K196" s="268"/>
      <c r="L196" s="268"/>
      <c r="M196" s="268"/>
      <c r="N196" s="268"/>
      <c r="O196" s="268"/>
      <c r="P196" s="268"/>
      <c r="Q196" s="268"/>
      <c r="R196" s="271"/>
    </row>
    <row r="197" spans="1:18" s="274" customFormat="1" ht="22.5" hidden="1" customHeight="1">
      <c r="A197" s="272"/>
      <c r="B197" s="273"/>
      <c r="C197" s="2303" t="s">
        <v>275</v>
      </c>
      <c r="D197" s="2304"/>
      <c r="E197" s="2303" t="s">
        <v>276</v>
      </c>
      <c r="F197" s="2304"/>
      <c r="G197" s="2303" t="s">
        <v>277</v>
      </c>
      <c r="H197" s="2304"/>
      <c r="I197" s="2305" t="s">
        <v>278</v>
      </c>
      <c r="J197" s="2306"/>
      <c r="K197" s="2305" t="s">
        <v>279</v>
      </c>
      <c r="L197" s="2306"/>
      <c r="M197" s="2303" t="s">
        <v>280</v>
      </c>
      <c r="N197" s="2304"/>
      <c r="O197" s="2305" t="s">
        <v>281</v>
      </c>
      <c r="P197" s="2306"/>
      <c r="Q197" s="2305" t="s">
        <v>282</v>
      </c>
      <c r="R197" s="2306"/>
    </row>
    <row r="198" spans="1:18" hidden="1">
      <c r="A198" s="275">
        <v>1</v>
      </c>
      <c r="B198" s="276">
        <v>10</v>
      </c>
      <c r="C198" s="277">
        <v>4.5</v>
      </c>
      <c r="D198" s="278">
        <f t="shared" ref="D198:D215" si="67">C198*$B198</f>
        <v>45</v>
      </c>
      <c r="E198" s="277"/>
      <c r="F198" s="278">
        <f t="shared" ref="F198:F215" si="68">E198*$B198</f>
        <v>0</v>
      </c>
      <c r="G198" s="277"/>
      <c r="H198" s="278">
        <f t="shared" ref="H198:H215" si="69">G198*$B198</f>
        <v>0</v>
      </c>
      <c r="I198" s="278"/>
      <c r="J198" s="278">
        <f t="shared" ref="J198:J215" si="70">I198*$B198</f>
        <v>0</v>
      </c>
      <c r="K198" s="278"/>
      <c r="L198" s="278">
        <f t="shared" ref="L198:L215" si="71">K198*$B198</f>
        <v>0</v>
      </c>
      <c r="M198" s="277"/>
      <c r="N198" s="278">
        <f t="shared" ref="N198:N215" si="72">M198*$B198</f>
        <v>0</v>
      </c>
      <c r="O198" s="278"/>
      <c r="P198" s="278">
        <f t="shared" ref="P198:P215" si="73">O198*$B198</f>
        <v>0</v>
      </c>
      <c r="Q198" s="278"/>
      <c r="R198" s="278">
        <f t="shared" ref="R198:R215" si="74">Q198*$B198</f>
        <v>0</v>
      </c>
    </row>
    <row r="199" spans="1:18" hidden="1">
      <c r="A199" s="279">
        <v>2</v>
      </c>
      <c r="B199" s="280">
        <v>10</v>
      </c>
      <c r="C199" s="281">
        <v>5</v>
      </c>
      <c r="D199" s="282">
        <f t="shared" si="67"/>
        <v>50</v>
      </c>
      <c r="E199" s="281"/>
      <c r="F199" s="282">
        <f t="shared" si="68"/>
        <v>0</v>
      </c>
      <c r="G199" s="281"/>
      <c r="H199" s="282">
        <f t="shared" si="69"/>
        <v>0</v>
      </c>
      <c r="I199" s="282"/>
      <c r="J199" s="282">
        <f t="shared" si="70"/>
        <v>0</v>
      </c>
      <c r="K199" s="282"/>
      <c r="L199" s="282">
        <f t="shared" si="71"/>
        <v>0</v>
      </c>
      <c r="M199" s="281"/>
      <c r="N199" s="282">
        <f t="shared" si="72"/>
        <v>0</v>
      </c>
      <c r="O199" s="282"/>
      <c r="P199" s="282">
        <f t="shared" si="73"/>
        <v>0</v>
      </c>
      <c r="Q199" s="282"/>
      <c r="R199" s="282">
        <f t="shared" si="74"/>
        <v>0</v>
      </c>
    </row>
    <row r="200" spans="1:18" ht="13.5" hidden="1" thickBot="1">
      <c r="A200" s="283">
        <v>3</v>
      </c>
      <c r="B200" s="284">
        <v>10</v>
      </c>
      <c r="C200" s="285">
        <v>5</v>
      </c>
      <c r="D200" s="286">
        <f t="shared" si="67"/>
        <v>50</v>
      </c>
      <c r="E200" s="285">
        <v>0.1</v>
      </c>
      <c r="F200" s="286">
        <f t="shared" si="68"/>
        <v>1</v>
      </c>
      <c r="G200" s="285">
        <v>0.1</v>
      </c>
      <c r="H200" s="286">
        <f t="shared" si="69"/>
        <v>1</v>
      </c>
      <c r="I200" s="286"/>
      <c r="J200" s="286">
        <f t="shared" si="70"/>
        <v>0</v>
      </c>
      <c r="K200" s="286"/>
      <c r="L200" s="286">
        <f t="shared" si="71"/>
        <v>0</v>
      </c>
      <c r="M200" s="285"/>
      <c r="N200" s="286">
        <f t="shared" si="72"/>
        <v>0</v>
      </c>
      <c r="O200" s="286">
        <v>5</v>
      </c>
      <c r="P200" s="286">
        <f t="shared" si="73"/>
        <v>50</v>
      </c>
      <c r="Q200" s="286">
        <v>5</v>
      </c>
      <c r="R200" s="286">
        <f t="shared" si="74"/>
        <v>50</v>
      </c>
    </row>
    <row r="201" spans="1:18" hidden="1">
      <c r="A201" s="275">
        <v>1</v>
      </c>
      <c r="B201" s="276">
        <v>10</v>
      </c>
      <c r="C201" s="277">
        <v>4.5</v>
      </c>
      <c r="D201" s="278">
        <f t="shared" si="67"/>
        <v>45</v>
      </c>
      <c r="E201" s="277">
        <v>0.5</v>
      </c>
      <c r="F201" s="278">
        <f t="shared" si="68"/>
        <v>5</v>
      </c>
      <c r="G201" s="277">
        <v>0.5</v>
      </c>
      <c r="H201" s="278">
        <f t="shared" si="69"/>
        <v>5</v>
      </c>
      <c r="I201" s="278"/>
      <c r="J201" s="278">
        <f t="shared" si="70"/>
        <v>0</v>
      </c>
      <c r="K201" s="278">
        <v>0.2</v>
      </c>
      <c r="L201" s="278">
        <f t="shared" si="71"/>
        <v>2</v>
      </c>
      <c r="M201" s="277">
        <v>0.4</v>
      </c>
      <c r="N201" s="278">
        <f t="shared" si="72"/>
        <v>4</v>
      </c>
      <c r="O201" s="278">
        <v>10</v>
      </c>
      <c r="P201" s="278">
        <f t="shared" si="73"/>
        <v>100</v>
      </c>
      <c r="Q201" s="278">
        <v>10</v>
      </c>
      <c r="R201" s="278">
        <f t="shared" si="74"/>
        <v>100</v>
      </c>
    </row>
    <row r="202" spans="1:18" hidden="1">
      <c r="A202" s="279">
        <v>2</v>
      </c>
      <c r="B202" s="280">
        <v>10</v>
      </c>
      <c r="C202" s="281">
        <v>3.5</v>
      </c>
      <c r="D202" s="282">
        <f t="shared" si="67"/>
        <v>35</v>
      </c>
      <c r="E202" s="281">
        <v>0.8</v>
      </c>
      <c r="F202" s="282">
        <f t="shared" si="68"/>
        <v>8</v>
      </c>
      <c r="G202" s="281">
        <v>0.8</v>
      </c>
      <c r="H202" s="282">
        <f t="shared" si="69"/>
        <v>8</v>
      </c>
      <c r="I202" s="282"/>
      <c r="J202" s="282">
        <f t="shared" si="70"/>
        <v>0</v>
      </c>
      <c r="K202" s="282">
        <v>0.3</v>
      </c>
      <c r="L202" s="282">
        <f t="shared" si="71"/>
        <v>3</v>
      </c>
      <c r="M202" s="281">
        <v>0.7</v>
      </c>
      <c r="N202" s="282">
        <f t="shared" si="72"/>
        <v>7</v>
      </c>
      <c r="O202" s="282">
        <v>10</v>
      </c>
      <c r="P202" s="282">
        <f t="shared" si="73"/>
        <v>100</v>
      </c>
      <c r="Q202" s="282">
        <v>10</v>
      </c>
      <c r="R202" s="282">
        <f t="shared" si="74"/>
        <v>100</v>
      </c>
    </row>
    <row r="203" spans="1:18" ht="13.5" hidden="1" thickBot="1">
      <c r="A203" s="283">
        <v>3</v>
      </c>
      <c r="B203" s="284">
        <v>10</v>
      </c>
      <c r="C203" s="285">
        <v>2</v>
      </c>
      <c r="D203" s="286">
        <f t="shared" si="67"/>
        <v>20</v>
      </c>
      <c r="E203" s="285">
        <v>1.2</v>
      </c>
      <c r="F203" s="286">
        <f t="shared" si="68"/>
        <v>12</v>
      </c>
      <c r="G203" s="285">
        <v>1.2</v>
      </c>
      <c r="H203" s="286">
        <f t="shared" si="69"/>
        <v>12</v>
      </c>
      <c r="I203" s="286"/>
      <c r="J203" s="286">
        <f t="shared" si="70"/>
        <v>0</v>
      </c>
      <c r="K203" s="286">
        <v>0.5</v>
      </c>
      <c r="L203" s="286">
        <f t="shared" si="71"/>
        <v>5</v>
      </c>
      <c r="M203" s="285">
        <v>1.1000000000000001</v>
      </c>
      <c r="N203" s="286">
        <f t="shared" si="72"/>
        <v>11</v>
      </c>
      <c r="O203" s="286">
        <v>10</v>
      </c>
      <c r="P203" s="286">
        <f t="shared" si="73"/>
        <v>100</v>
      </c>
      <c r="Q203" s="286">
        <v>10</v>
      </c>
      <c r="R203" s="286">
        <f t="shared" si="74"/>
        <v>100</v>
      </c>
    </row>
    <row r="204" spans="1:18" hidden="1">
      <c r="A204" s="275">
        <v>1</v>
      </c>
      <c r="B204" s="276">
        <v>10</v>
      </c>
      <c r="C204" s="277">
        <v>1</v>
      </c>
      <c r="D204" s="278">
        <f t="shared" si="67"/>
        <v>10</v>
      </c>
      <c r="E204" s="277">
        <v>1.5</v>
      </c>
      <c r="F204" s="278">
        <f t="shared" si="68"/>
        <v>15</v>
      </c>
      <c r="G204" s="277">
        <v>1.5</v>
      </c>
      <c r="H204" s="278">
        <f t="shared" si="69"/>
        <v>15</v>
      </c>
      <c r="I204" s="278"/>
      <c r="J204" s="278">
        <f t="shared" si="70"/>
        <v>0</v>
      </c>
      <c r="K204" s="278">
        <v>1</v>
      </c>
      <c r="L204" s="278">
        <f t="shared" si="71"/>
        <v>10</v>
      </c>
      <c r="M204" s="277">
        <v>1.3</v>
      </c>
      <c r="N204" s="278">
        <f t="shared" si="72"/>
        <v>13</v>
      </c>
      <c r="O204" s="278">
        <v>10</v>
      </c>
      <c r="P204" s="278">
        <f t="shared" si="73"/>
        <v>100</v>
      </c>
      <c r="Q204" s="278">
        <v>10</v>
      </c>
      <c r="R204" s="278">
        <f t="shared" si="74"/>
        <v>100</v>
      </c>
    </row>
    <row r="205" spans="1:18" hidden="1">
      <c r="A205" s="279">
        <v>2</v>
      </c>
      <c r="B205" s="280">
        <v>10</v>
      </c>
      <c r="C205" s="281">
        <v>0.5</v>
      </c>
      <c r="D205" s="282">
        <f t="shared" si="67"/>
        <v>5</v>
      </c>
      <c r="E205" s="281">
        <v>2</v>
      </c>
      <c r="F205" s="282">
        <f t="shared" si="68"/>
        <v>20</v>
      </c>
      <c r="G205" s="281">
        <v>2</v>
      </c>
      <c r="H205" s="282">
        <f t="shared" si="69"/>
        <v>20</v>
      </c>
      <c r="I205" s="282"/>
      <c r="J205" s="282">
        <f t="shared" si="70"/>
        <v>0</v>
      </c>
      <c r="K205" s="282">
        <v>1</v>
      </c>
      <c r="L205" s="282">
        <f t="shared" si="71"/>
        <v>10</v>
      </c>
      <c r="M205" s="281">
        <v>1.5</v>
      </c>
      <c r="N205" s="282">
        <f t="shared" si="72"/>
        <v>15</v>
      </c>
      <c r="O205" s="282">
        <v>10</v>
      </c>
      <c r="P205" s="282">
        <f t="shared" si="73"/>
        <v>100</v>
      </c>
      <c r="Q205" s="282">
        <v>10</v>
      </c>
      <c r="R205" s="282">
        <f t="shared" si="74"/>
        <v>100</v>
      </c>
    </row>
    <row r="206" spans="1:18" ht="13.5" hidden="1" thickBot="1">
      <c r="A206" s="283">
        <v>3</v>
      </c>
      <c r="B206" s="284">
        <v>10</v>
      </c>
      <c r="C206" s="285"/>
      <c r="D206" s="286">
        <f t="shared" si="67"/>
        <v>0</v>
      </c>
      <c r="E206" s="285">
        <v>2.5</v>
      </c>
      <c r="F206" s="286">
        <f t="shared" si="68"/>
        <v>25</v>
      </c>
      <c r="G206" s="285">
        <v>2.5</v>
      </c>
      <c r="H206" s="286">
        <f t="shared" si="69"/>
        <v>25</v>
      </c>
      <c r="I206" s="286"/>
      <c r="J206" s="286">
        <f t="shared" si="70"/>
        <v>0</v>
      </c>
      <c r="K206" s="286">
        <v>1</v>
      </c>
      <c r="L206" s="286">
        <f t="shared" si="71"/>
        <v>10</v>
      </c>
      <c r="M206" s="285">
        <v>1.6</v>
      </c>
      <c r="N206" s="286">
        <f t="shared" si="72"/>
        <v>16</v>
      </c>
      <c r="O206" s="286">
        <v>10</v>
      </c>
      <c r="P206" s="286">
        <f t="shared" si="73"/>
        <v>100</v>
      </c>
      <c r="Q206" s="286">
        <v>10</v>
      </c>
      <c r="R206" s="286">
        <f t="shared" si="74"/>
        <v>100</v>
      </c>
    </row>
    <row r="207" spans="1:18" hidden="1">
      <c r="A207" s="275">
        <v>1</v>
      </c>
      <c r="B207" s="276">
        <v>10</v>
      </c>
      <c r="C207" s="277"/>
      <c r="D207" s="278">
        <f t="shared" si="67"/>
        <v>0</v>
      </c>
      <c r="E207" s="277"/>
      <c r="F207" s="278">
        <f t="shared" si="68"/>
        <v>0</v>
      </c>
      <c r="G207" s="277"/>
      <c r="H207" s="278">
        <f t="shared" si="69"/>
        <v>0</v>
      </c>
      <c r="I207" s="278">
        <v>6</v>
      </c>
      <c r="J207" s="278">
        <f t="shared" si="70"/>
        <v>60</v>
      </c>
      <c r="K207" s="278">
        <v>1</v>
      </c>
      <c r="L207" s="278">
        <f t="shared" si="71"/>
        <v>10</v>
      </c>
      <c r="M207" s="277">
        <v>1.6</v>
      </c>
      <c r="N207" s="278">
        <f t="shared" si="72"/>
        <v>16</v>
      </c>
      <c r="O207" s="278">
        <v>15</v>
      </c>
      <c r="P207" s="278">
        <f t="shared" si="73"/>
        <v>150</v>
      </c>
      <c r="Q207" s="278">
        <v>15</v>
      </c>
      <c r="R207" s="278">
        <f t="shared" si="74"/>
        <v>150</v>
      </c>
    </row>
    <row r="208" spans="1:18" hidden="1">
      <c r="A208" s="279">
        <v>2</v>
      </c>
      <c r="B208" s="280">
        <v>10</v>
      </c>
      <c r="C208" s="281"/>
      <c r="D208" s="282">
        <f t="shared" si="67"/>
        <v>0</v>
      </c>
      <c r="E208" s="281"/>
      <c r="F208" s="282">
        <f t="shared" si="68"/>
        <v>0</v>
      </c>
      <c r="G208" s="281"/>
      <c r="H208" s="282">
        <f t="shared" si="69"/>
        <v>0</v>
      </c>
      <c r="I208" s="282">
        <v>8</v>
      </c>
      <c r="J208" s="282">
        <f t="shared" si="70"/>
        <v>80</v>
      </c>
      <c r="K208" s="282">
        <v>1</v>
      </c>
      <c r="L208" s="282">
        <f t="shared" si="71"/>
        <v>10</v>
      </c>
      <c r="M208" s="281">
        <v>1.6</v>
      </c>
      <c r="N208" s="282">
        <f t="shared" si="72"/>
        <v>16</v>
      </c>
      <c r="O208" s="282">
        <v>15</v>
      </c>
      <c r="P208" s="282">
        <f t="shared" si="73"/>
        <v>150</v>
      </c>
      <c r="Q208" s="282">
        <v>15</v>
      </c>
      <c r="R208" s="282">
        <f t="shared" si="74"/>
        <v>150</v>
      </c>
    </row>
    <row r="209" spans="1:18" ht="13.5" hidden="1" thickBot="1">
      <c r="A209" s="283">
        <v>3</v>
      </c>
      <c r="B209" s="284">
        <v>10</v>
      </c>
      <c r="C209" s="285"/>
      <c r="D209" s="286">
        <f t="shared" si="67"/>
        <v>0</v>
      </c>
      <c r="E209" s="285"/>
      <c r="F209" s="286">
        <f t="shared" si="68"/>
        <v>0</v>
      </c>
      <c r="G209" s="285"/>
      <c r="H209" s="286">
        <f t="shared" si="69"/>
        <v>0</v>
      </c>
      <c r="I209" s="286">
        <v>10</v>
      </c>
      <c r="J209" s="286">
        <f t="shared" si="70"/>
        <v>100</v>
      </c>
      <c r="K209" s="286">
        <v>1</v>
      </c>
      <c r="L209" s="286">
        <f t="shared" si="71"/>
        <v>10</v>
      </c>
      <c r="M209" s="285">
        <v>1.6</v>
      </c>
      <c r="N209" s="286">
        <f t="shared" si="72"/>
        <v>16</v>
      </c>
      <c r="O209" s="286">
        <v>15</v>
      </c>
      <c r="P209" s="286">
        <f t="shared" si="73"/>
        <v>150</v>
      </c>
      <c r="Q209" s="286">
        <v>15</v>
      </c>
      <c r="R209" s="286">
        <f t="shared" si="74"/>
        <v>150</v>
      </c>
    </row>
    <row r="210" spans="1:18" hidden="1">
      <c r="A210" s="275">
        <v>1</v>
      </c>
      <c r="B210" s="276">
        <v>10</v>
      </c>
      <c r="C210" s="277"/>
      <c r="D210" s="278">
        <f t="shared" si="67"/>
        <v>0</v>
      </c>
      <c r="E210" s="277"/>
      <c r="F210" s="278">
        <f t="shared" si="68"/>
        <v>0</v>
      </c>
      <c r="G210" s="277"/>
      <c r="H210" s="278">
        <f t="shared" si="69"/>
        <v>0</v>
      </c>
      <c r="I210" s="278">
        <v>10</v>
      </c>
      <c r="J210" s="278">
        <f t="shared" si="70"/>
        <v>100</v>
      </c>
      <c r="K210" s="278">
        <v>1</v>
      </c>
      <c r="L210" s="278">
        <f t="shared" si="71"/>
        <v>10</v>
      </c>
      <c r="M210" s="277">
        <v>1.5</v>
      </c>
      <c r="N210" s="278">
        <f t="shared" si="72"/>
        <v>15</v>
      </c>
      <c r="O210" s="278">
        <v>15</v>
      </c>
      <c r="P210" s="278">
        <f t="shared" si="73"/>
        <v>150</v>
      </c>
      <c r="Q210" s="278">
        <v>15</v>
      </c>
      <c r="R210" s="278">
        <f t="shared" si="74"/>
        <v>150</v>
      </c>
    </row>
    <row r="211" spans="1:18" hidden="1">
      <c r="A211" s="279">
        <v>2</v>
      </c>
      <c r="B211" s="280">
        <v>10</v>
      </c>
      <c r="C211" s="281"/>
      <c r="D211" s="282">
        <f t="shared" si="67"/>
        <v>0</v>
      </c>
      <c r="E211" s="281"/>
      <c r="F211" s="282">
        <f t="shared" si="68"/>
        <v>0</v>
      </c>
      <c r="G211" s="281"/>
      <c r="H211" s="282">
        <f t="shared" si="69"/>
        <v>0</v>
      </c>
      <c r="I211" s="282">
        <v>12</v>
      </c>
      <c r="J211" s="282">
        <f t="shared" si="70"/>
        <v>120</v>
      </c>
      <c r="K211" s="282">
        <v>1</v>
      </c>
      <c r="L211" s="282">
        <f t="shared" si="71"/>
        <v>10</v>
      </c>
      <c r="M211" s="281">
        <v>1</v>
      </c>
      <c r="N211" s="282">
        <f t="shared" si="72"/>
        <v>10</v>
      </c>
      <c r="O211" s="282">
        <v>15</v>
      </c>
      <c r="P211" s="282">
        <f t="shared" si="73"/>
        <v>150</v>
      </c>
      <c r="Q211" s="282">
        <v>15</v>
      </c>
      <c r="R211" s="282">
        <f t="shared" si="74"/>
        <v>150</v>
      </c>
    </row>
    <row r="212" spans="1:18" ht="13.5" hidden="1" thickBot="1">
      <c r="A212" s="283">
        <v>3</v>
      </c>
      <c r="B212" s="284">
        <v>10</v>
      </c>
      <c r="C212" s="285"/>
      <c r="D212" s="286">
        <f t="shared" si="67"/>
        <v>0</v>
      </c>
      <c r="E212" s="285"/>
      <c r="F212" s="286">
        <f t="shared" si="68"/>
        <v>0</v>
      </c>
      <c r="G212" s="285"/>
      <c r="H212" s="286">
        <f t="shared" si="69"/>
        <v>0</v>
      </c>
      <c r="I212" s="286">
        <v>14</v>
      </c>
      <c r="J212" s="286">
        <f t="shared" si="70"/>
        <v>140</v>
      </c>
      <c r="K212" s="286">
        <v>1</v>
      </c>
      <c r="L212" s="286">
        <f t="shared" si="71"/>
        <v>10</v>
      </c>
      <c r="M212" s="285">
        <v>1</v>
      </c>
      <c r="N212" s="286">
        <f t="shared" si="72"/>
        <v>10</v>
      </c>
      <c r="O212" s="286">
        <v>15</v>
      </c>
      <c r="P212" s="286">
        <f t="shared" si="73"/>
        <v>150</v>
      </c>
      <c r="Q212" s="286">
        <v>15</v>
      </c>
      <c r="R212" s="286">
        <f t="shared" si="74"/>
        <v>150</v>
      </c>
    </row>
    <row r="213" spans="1:18" hidden="1">
      <c r="A213" s="275">
        <v>1</v>
      </c>
      <c r="B213" s="276">
        <v>10</v>
      </c>
      <c r="C213" s="277"/>
      <c r="D213" s="278">
        <f t="shared" si="67"/>
        <v>0</v>
      </c>
      <c r="E213" s="277"/>
      <c r="F213" s="278">
        <f t="shared" si="68"/>
        <v>0</v>
      </c>
      <c r="G213" s="277"/>
      <c r="H213" s="278">
        <f t="shared" si="69"/>
        <v>0</v>
      </c>
      <c r="I213" s="278">
        <v>14</v>
      </c>
      <c r="J213" s="278">
        <f t="shared" si="70"/>
        <v>140</v>
      </c>
      <c r="K213" s="278">
        <v>1</v>
      </c>
      <c r="L213" s="278">
        <f t="shared" si="71"/>
        <v>10</v>
      </c>
      <c r="M213" s="277">
        <v>0.8</v>
      </c>
      <c r="N213" s="278">
        <f t="shared" si="72"/>
        <v>8</v>
      </c>
      <c r="O213" s="278">
        <v>20</v>
      </c>
      <c r="P213" s="278">
        <f t="shared" si="73"/>
        <v>200</v>
      </c>
      <c r="Q213" s="278">
        <v>20</v>
      </c>
      <c r="R213" s="278">
        <f t="shared" si="74"/>
        <v>200</v>
      </c>
    </row>
    <row r="214" spans="1:18" hidden="1">
      <c r="A214" s="279">
        <v>2</v>
      </c>
      <c r="B214" s="280">
        <v>10</v>
      </c>
      <c r="C214" s="281"/>
      <c r="D214" s="282">
        <f t="shared" si="67"/>
        <v>0</v>
      </c>
      <c r="E214" s="281"/>
      <c r="F214" s="282">
        <f t="shared" si="68"/>
        <v>0</v>
      </c>
      <c r="G214" s="281"/>
      <c r="H214" s="282">
        <f t="shared" si="69"/>
        <v>0</v>
      </c>
      <c r="I214" s="282">
        <v>16</v>
      </c>
      <c r="J214" s="282">
        <f t="shared" si="70"/>
        <v>160</v>
      </c>
      <c r="K214" s="282">
        <v>1</v>
      </c>
      <c r="L214" s="282">
        <f t="shared" si="71"/>
        <v>10</v>
      </c>
      <c r="M214" s="281">
        <v>0.7</v>
      </c>
      <c r="N214" s="282">
        <f t="shared" si="72"/>
        <v>7</v>
      </c>
      <c r="O214" s="282">
        <v>20</v>
      </c>
      <c r="P214" s="282">
        <f t="shared" si="73"/>
        <v>200</v>
      </c>
      <c r="Q214" s="282">
        <v>20</v>
      </c>
      <c r="R214" s="282">
        <f t="shared" si="74"/>
        <v>200</v>
      </c>
    </row>
    <row r="215" spans="1:18" ht="13.5" hidden="1" thickBot="1">
      <c r="A215" s="283">
        <v>3</v>
      </c>
      <c r="B215" s="284">
        <v>10</v>
      </c>
      <c r="C215" s="285"/>
      <c r="D215" s="286">
        <f t="shared" si="67"/>
        <v>0</v>
      </c>
      <c r="E215" s="285"/>
      <c r="F215" s="286">
        <f t="shared" si="68"/>
        <v>0</v>
      </c>
      <c r="G215" s="285"/>
      <c r="H215" s="286">
        <f t="shared" si="69"/>
        <v>0</v>
      </c>
      <c r="I215" s="286">
        <v>18</v>
      </c>
      <c r="J215" s="286">
        <f t="shared" si="70"/>
        <v>180</v>
      </c>
      <c r="K215" s="286">
        <v>1</v>
      </c>
      <c r="L215" s="286">
        <f t="shared" si="71"/>
        <v>10</v>
      </c>
      <c r="M215" s="285">
        <v>0.7</v>
      </c>
      <c r="N215" s="286">
        <f t="shared" si="72"/>
        <v>7</v>
      </c>
      <c r="O215" s="286">
        <v>20</v>
      </c>
      <c r="P215" s="286">
        <f t="shared" si="73"/>
        <v>200</v>
      </c>
      <c r="Q215" s="286">
        <v>20</v>
      </c>
      <c r="R215" s="286">
        <f t="shared" si="74"/>
        <v>200</v>
      </c>
    </row>
    <row r="216" spans="1:18" hidden="1">
      <c r="A216" s="269"/>
      <c r="B216" s="287">
        <f>SUM(B198:B215)</f>
        <v>180</v>
      </c>
      <c r="C216" s="288"/>
      <c r="D216" s="287">
        <f>SUM(D198:D215)</f>
        <v>260</v>
      </c>
      <c r="E216" s="287"/>
      <c r="F216" s="287">
        <f t="shared" ref="F216:R216" si="75">SUM(F198:F215)</f>
        <v>86</v>
      </c>
      <c r="G216" s="287"/>
      <c r="H216" s="287">
        <f t="shared" si="75"/>
        <v>86</v>
      </c>
      <c r="I216" s="287"/>
      <c r="J216" s="287">
        <f t="shared" si="75"/>
        <v>1080</v>
      </c>
      <c r="K216" s="287"/>
      <c r="L216" s="287">
        <f t="shared" si="75"/>
        <v>130</v>
      </c>
      <c r="M216" s="287"/>
      <c r="N216" s="287">
        <f t="shared" si="75"/>
        <v>171</v>
      </c>
      <c r="O216" s="287"/>
      <c r="P216" s="287">
        <f t="shared" si="75"/>
        <v>2150</v>
      </c>
      <c r="Q216" s="287"/>
      <c r="R216" s="287">
        <f t="shared" si="75"/>
        <v>2150</v>
      </c>
    </row>
    <row r="217" spans="1:18" hidden="1">
      <c r="A217" s="267"/>
      <c r="B217" s="268"/>
      <c r="C217" s="268">
        <f>SUMIF(C198:C215,"&gt;0",$B198:$B215)</f>
        <v>80</v>
      </c>
      <c r="D217" s="268"/>
      <c r="E217" s="268">
        <f>SUMIF(E198:E215,"&gt;0",$B198:$B215)</f>
        <v>70</v>
      </c>
      <c r="F217" s="268"/>
      <c r="G217" s="268">
        <f>SUMIF(G198:G215,"&gt;0",$B198:$B215)</f>
        <v>70</v>
      </c>
      <c r="H217" s="268"/>
      <c r="I217" s="268">
        <f>SUMIF(I198:I215,"&gt;0",$B198:$B215)</f>
        <v>90</v>
      </c>
      <c r="J217" s="268"/>
      <c r="K217" s="268">
        <f>SUMIF(K198:K215,"&gt;0",$B198:$B215)</f>
        <v>150</v>
      </c>
      <c r="L217" s="268"/>
      <c r="M217" s="268">
        <f>SUMIF(M198:M215,"&gt;0",$B198:$B215)</f>
        <v>150</v>
      </c>
      <c r="N217" s="268"/>
      <c r="O217" s="268">
        <f>SUMIF(O198:O215,"&gt;0",$B198:$B215)</f>
        <v>160</v>
      </c>
      <c r="P217" s="268"/>
      <c r="Q217" s="268">
        <f>SUMIF(Q198:Q215,"&gt;0",$B198:$B215)</f>
        <v>160</v>
      </c>
      <c r="R217" s="268"/>
    </row>
    <row r="218" spans="1:18" hidden="1">
      <c r="A218" s="267"/>
      <c r="B218" s="268"/>
      <c r="C218" s="268"/>
      <c r="D218" s="269"/>
      <c r="E218" s="270"/>
      <c r="F218" s="268"/>
      <c r="G218" s="268"/>
      <c r="H218" s="268"/>
      <c r="I218" s="268"/>
      <c r="J218" s="268"/>
      <c r="K218" s="268"/>
      <c r="L218" s="268"/>
      <c r="M218" s="268"/>
      <c r="N218" s="268"/>
      <c r="O218" s="268"/>
      <c r="P218" s="268"/>
      <c r="Q218" s="268"/>
      <c r="R218" s="271"/>
    </row>
    <row r="219" spans="1:18">
      <c r="A219" s="267"/>
      <c r="B219" s="268"/>
      <c r="C219" s="268"/>
      <c r="D219" s="269"/>
      <c r="E219" s="270"/>
      <c r="F219" s="268"/>
      <c r="G219" s="268"/>
      <c r="H219" s="268"/>
      <c r="I219" s="268"/>
      <c r="J219" s="268"/>
      <c r="K219" s="268"/>
      <c r="L219" s="268"/>
      <c r="M219" s="268"/>
      <c r="N219" s="268"/>
      <c r="O219" s="268"/>
      <c r="P219" s="268"/>
      <c r="Q219" s="268"/>
      <c r="R219" s="271"/>
    </row>
    <row r="220" spans="1:18" ht="15">
      <c r="A220" s="222"/>
      <c r="B220" s="222"/>
      <c r="C220" s="222"/>
      <c r="D220" s="222"/>
      <c r="E220" s="222"/>
      <c r="F220" s="222"/>
      <c r="G220" s="222"/>
      <c r="H220" s="222"/>
      <c r="I220" s="222"/>
      <c r="J220" s="222"/>
      <c r="K220" s="222"/>
      <c r="L220" s="222"/>
      <c r="M220" s="222"/>
      <c r="N220" s="222"/>
      <c r="O220" s="222"/>
      <c r="P220" s="222"/>
      <c r="Q220" s="222"/>
      <c r="R220" s="222"/>
    </row>
  </sheetData>
  <mergeCells count="9">
    <mergeCell ref="M197:N197"/>
    <mergeCell ref="O197:P197"/>
    <mergeCell ref="Q197:R197"/>
    <mergeCell ref="B2:E2"/>
    <mergeCell ref="C197:D197"/>
    <mergeCell ref="E197:F197"/>
    <mergeCell ref="G197:H197"/>
    <mergeCell ref="I197:J197"/>
    <mergeCell ref="K197:L197"/>
  </mergeCells>
  <conditionalFormatting sqref="R52 R164 R178 R24 R10 R38 R66 R80 R94 R122 R108 R136 R150">
    <cfRule type="cellIs" dxfId="5" priority="1" stopIfTrue="1"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220"/>
  <sheetViews>
    <sheetView topLeftCell="A154" workbookViewId="0">
      <selection activeCell="M180" sqref="M180"/>
    </sheetView>
  </sheetViews>
  <sheetFormatPr defaultRowHeight="12.75" outlineLevelRow="1"/>
  <cols>
    <col min="1" max="1" width="34.5703125" customWidth="1"/>
    <col min="2" max="2" width="6.5703125" bestFit="1" customWidth="1"/>
    <col min="3" max="3" width="7.5703125" bestFit="1" customWidth="1"/>
    <col min="4" max="4" width="10" bestFit="1" customWidth="1"/>
    <col min="5" max="5" width="11" customWidth="1"/>
    <col min="6" max="6" width="7" bestFit="1" customWidth="1"/>
    <col min="7" max="7" width="6.42578125" bestFit="1" customWidth="1"/>
    <col min="8" max="8" width="5.28515625" customWidth="1"/>
    <col min="9" max="9" width="5.5703125" bestFit="1" customWidth="1"/>
    <col min="10" max="12" width="5.28515625" bestFit="1" customWidth="1"/>
    <col min="13" max="13" width="5.42578125" bestFit="1" customWidth="1"/>
    <col min="14" max="14" width="7.140625" bestFit="1" customWidth="1"/>
    <col min="15" max="15" width="6.42578125" bestFit="1" customWidth="1"/>
    <col min="16" max="16" width="5.85546875" bestFit="1" customWidth="1"/>
    <col min="17" max="17" width="6.28515625" bestFit="1" customWidth="1"/>
    <col min="18" max="18" width="6.140625" bestFit="1" customWidth="1"/>
    <col min="257" max="257" width="34.5703125" customWidth="1"/>
    <col min="258" max="258" width="6.5703125" bestFit="1" customWidth="1"/>
    <col min="259" max="259" width="7.5703125" bestFit="1" customWidth="1"/>
    <col min="260" max="260" width="10" bestFit="1" customWidth="1"/>
    <col min="261" max="261" width="11" customWidth="1"/>
    <col min="262" max="262" width="7" bestFit="1" customWidth="1"/>
    <col min="263" max="263" width="6.42578125" bestFit="1" customWidth="1"/>
    <col min="264" max="264" width="5.28515625" customWidth="1"/>
    <col min="265" max="265" width="5.5703125" bestFit="1" customWidth="1"/>
    <col min="266" max="268" width="5.28515625" bestFit="1" customWidth="1"/>
    <col min="269" max="269" width="5.42578125" bestFit="1" customWidth="1"/>
    <col min="270" max="270" width="7.140625" bestFit="1" customWidth="1"/>
    <col min="271" max="271" width="6.42578125" bestFit="1" customWidth="1"/>
    <col min="272" max="272" width="5.85546875" bestFit="1" customWidth="1"/>
    <col min="273" max="273" width="6.28515625" bestFit="1" customWidth="1"/>
    <col min="274" max="274" width="6.140625" bestFit="1" customWidth="1"/>
    <col min="513" max="513" width="34.5703125" customWidth="1"/>
    <col min="514" max="514" width="6.5703125" bestFit="1" customWidth="1"/>
    <col min="515" max="515" width="7.5703125" bestFit="1" customWidth="1"/>
    <col min="516" max="516" width="10" bestFit="1" customWidth="1"/>
    <col min="517" max="517" width="11" customWidth="1"/>
    <col min="518" max="518" width="7" bestFit="1" customWidth="1"/>
    <col min="519" max="519" width="6.42578125" bestFit="1" customWidth="1"/>
    <col min="520" max="520" width="5.28515625" customWidth="1"/>
    <col min="521" max="521" width="5.5703125" bestFit="1" customWidth="1"/>
    <col min="522" max="524" width="5.28515625" bestFit="1" customWidth="1"/>
    <col min="525" max="525" width="5.42578125" bestFit="1" customWidth="1"/>
    <col min="526" max="526" width="7.140625" bestFit="1" customWidth="1"/>
    <col min="527" max="527" width="6.42578125" bestFit="1" customWidth="1"/>
    <col min="528" max="528" width="5.85546875" bestFit="1" customWidth="1"/>
    <col min="529" max="529" width="6.28515625" bestFit="1" customWidth="1"/>
    <col min="530" max="530" width="6.140625" bestFit="1" customWidth="1"/>
    <col min="769" max="769" width="34.5703125" customWidth="1"/>
    <col min="770" max="770" width="6.5703125" bestFit="1" customWidth="1"/>
    <col min="771" max="771" width="7.5703125" bestFit="1" customWidth="1"/>
    <col min="772" max="772" width="10" bestFit="1" customWidth="1"/>
    <col min="773" max="773" width="11" customWidth="1"/>
    <col min="774" max="774" width="7" bestFit="1" customWidth="1"/>
    <col min="775" max="775" width="6.42578125" bestFit="1" customWidth="1"/>
    <col min="776" max="776" width="5.28515625" customWidth="1"/>
    <col min="777" max="777" width="5.5703125" bestFit="1" customWidth="1"/>
    <col min="778" max="780" width="5.28515625" bestFit="1" customWidth="1"/>
    <col min="781" max="781" width="5.42578125" bestFit="1" customWidth="1"/>
    <col min="782" max="782" width="7.140625" bestFit="1" customWidth="1"/>
    <col min="783" max="783" width="6.42578125" bestFit="1" customWidth="1"/>
    <col min="784" max="784" width="5.85546875" bestFit="1" customWidth="1"/>
    <col min="785" max="785" width="6.28515625" bestFit="1" customWidth="1"/>
    <col min="786" max="786" width="6.140625" bestFit="1" customWidth="1"/>
    <col min="1025" max="1025" width="34.5703125" customWidth="1"/>
    <col min="1026" max="1026" width="6.5703125" bestFit="1" customWidth="1"/>
    <col min="1027" max="1027" width="7.5703125" bestFit="1" customWidth="1"/>
    <col min="1028" max="1028" width="10" bestFit="1" customWidth="1"/>
    <col min="1029" max="1029" width="11" customWidth="1"/>
    <col min="1030" max="1030" width="7" bestFit="1" customWidth="1"/>
    <col min="1031" max="1031" width="6.42578125" bestFit="1" customWidth="1"/>
    <col min="1032" max="1032" width="5.28515625" customWidth="1"/>
    <col min="1033" max="1033" width="5.5703125" bestFit="1" customWidth="1"/>
    <col min="1034" max="1036" width="5.28515625" bestFit="1" customWidth="1"/>
    <col min="1037" max="1037" width="5.42578125" bestFit="1" customWidth="1"/>
    <col min="1038" max="1038" width="7.140625" bestFit="1" customWidth="1"/>
    <col min="1039" max="1039" width="6.42578125" bestFit="1" customWidth="1"/>
    <col min="1040" max="1040" width="5.85546875" bestFit="1" customWidth="1"/>
    <col min="1041" max="1041" width="6.28515625" bestFit="1" customWidth="1"/>
    <col min="1042" max="1042" width="6.140625" bestFit="1" customWidth="1"/>
    <col min="1281" max="1281" width="34.5703125" customWidth="1"/>
    <col min="1282" max="1282" width="6.5703125" bestFit="1" customWidth="1"/>
    <col min="1283" max="1283" width="7.5703125" bestFit="1" customWidth="1"/>
    <col min="1284" max="1284" width="10" bestFit="1" customWidth="1"/>
    <col min="1285" max="1285" width="11" customWidth="1"/>
    <col min="1286" max="1286" width="7" bestFit="1" customWidth="1"/>
    <col min="1287" max="1287" width="6.42578125" bestFit="1" customWidth="1"/>
    <col min="1288" max="1288" width="5.28515625" customWidth="1"/>
    <col min="1289" max="1289" width="5.5703125" bestFit="1" customWidth="1"/>
    <col min="1290" max="1292" width="5.28515625" bestFit="1" customWidth="1"/>
    <col min="1293" max="1293" width="5.42578125" bestFit="1" customWidth="1"/>
    <col min="1294" max="1294" width="7.140625" bestFit="1" customWidth="1"/>
    <col min="1295" max="1295" width="6.42578125" bestFit="1" customWidth="1"/>
    <col min="1296" max="1296" width="5.85546875" bestFit="1" customWidth="1"/>
    <col min="1297" max="1297" width="6.28515625" bestFit="1" customWidth="1"/>
    <col min="1298" max="1298" width="6.140625" bestFit="1" customWidth="1"/>
    <col min="1537" max="1537" width="34.5703125" customWidth="1"/>
    <col min="1538" max="1538" width="6.5703125" bestFit="1" customWidth="1"/>
    <col min="1539" max="1539" width="7.5703125" bestFit="1" customWidth="1"/>
    <col min="1540" max="1540" width="10" bestFit="1" customWidth="1"/>
    <col min="1541" max="1541" width="11" customWidth="1"/>
    <col min="1542" max="1542" width="7" bestFit="1" customWidth="1"/>
    <col min="1543" max="1543" width="6.42578125" bestFit="1" customWidth="1"/>
    <col min="1544" max="1544" width="5.28515625" customWidth="1"/>
    <col min="1545" max="1545" width="5.5703125" bestFit="1" customWidth="1"/>
    <col min="1546" max="1548" width="5.28515625" bestFit="1" customWidth="1"/>
    <col min="1549" max="1549" width="5.42578125" bestFit="1" customWidth="1"/>
    <col min="1550" max="1550" width="7.140625" bestFit="1" customWidth="1"/>
    <col min="1551" max="1551" width="6.42578125" bestFit="1" customWidth="1"/>
    <col min="1552" max="1552" width="5.85546875" bestFit="1" customWidth="1"/>
    <col min="1553" max="1553" width="6.28515625" bestFit="1" customWidth="1"/>
    <col min="1554" max="1554" width="6.140625" bestFit="1" customWidth="1"/>
    <col min="1793" max="1793" width="34.5703125" customWidth="1"/>
    <col min="1794" max="1794" width="6.5703125" bestFit="1" customWidth="1"/>
    <col min="1795" max="1795" width="7.5703125" bestFit="1" customWidth="1"/>
    <col min="1796" max="1796" width="10" bestFit="1" customWidth="1"/>
    <col min="1797" max="1797" width="11" customWidth="1"/>
    <col min="1798" max="1798" width="7" bestFit="1" customWidth="1"/>
    <col min="1799" max="1799" width="6.42578125" bestFit="1" customWidth="1"/>
    <col min="1800" max="1800" width="5.28515625" customWidth="1"/>
    <col min="1801" max="1801" width="5.5703125" bestFit="1" customWidth="1"/>
    <col min="1802" max="1804" width="5.28515625" bestFit="1" customWidth="1"/>
    <col min="1805" max="1805" width="5.42578125" bestFit="1" customWidth="1"/>
    <col min="1806" max="1806" width="7.140625" bestFit="1" customWidth="1"/>
    <col min="1807" max="1807" width="6.42578125" bestFit="1" customWidth="1"/>
    <col min="1808" max="1808" width="5.85546875" bestFit="1" customWidth="1"/>
    <col min="1809" max="1809" width="6.28515625" bestFit="1" customWidth="1"/>
    <col min="1810" max="1810" width="6.140625" bestFit="1" customWidth="1"/>
    <col min="2049" max="2049" width="34.5703125" customWidth="1"/>
    <col min="2050" max="2050" width="6.5703125" bestFit="1" customWidth="1"/>
    <col min="2051" max="2051" width="7.5703125" bestFit="1" customWidth="1"/>
    <col min="2052" max="2052" width="10" bestFit="1" customWidth="1"/>
    <col min="2053" max="2053" width="11" customWidth="1"/>
    <col min="2054" max="2054" width="7" bestFit="1" customWidth="1"/>
    <col min="2055" max="2055" width="6.42578125" bestFit="1" customWidth="1"/>
    <col min="2056" max="2056" width="5.28515625" customWidth="1"/>
    <col min="2057" max="2057" width="5.5703125" bestFit="1" customWidth="1"/>
    <col min="2058" max="2060" width="5.28515625" bestFit="1" customWidth="1"/>
    <col min="2061" max="2061" width="5.42578125" bestFit="1" customWidth="1"/>
    <col min="2062" max="2062" width="7.140625" bestFit="1" customWidth="1"/>
    <col min="2063" max="2063" width="6.42578125" bestFit="1" customWidth="1"/>
    <col min="2064" max="2064" width="5.85546875" bestFit="1" customWidth="1"/>
    <col min="2065" max="2065" width="6.28515625" bestFit="1" customWidth="1"/>
    <col min="2066" max="2066" width="6.140625" bestFit="1" customWidth="1"/>
    <col min="2305" max="2305" width="34.5703125" customWidth="1"/>
    <col min="2306" max="2306" width="6.5703125" bestFit="1" customWidth="1"/>
    <col min="2307" max="2307" width="7.5703125" bestFit="1" customWidth="1"/>
    <col min="2308" max="2308" width="10" bestFit="1" customWidth="1"/>
    <col min="2309" max="2309" width="11" customWidth="1"/>
    <col min="2310" max="2310" width="7" bestFit="1" customWidth="1"/>
    <col min="2311" max="2311" width="6.42578125" bestFit="1" customWidth="1"/>
    <col min="2312" max="2312" width="5.28515625" customWidth="1"/>
    <col min="2313" max="2313" width="5.5703125" bestFit="1" customWidth="1"/>
    <col min="2314" max="2316" width="5.28515625" bestFit="1" customWidth="1"/>
    <col min="2317" max="2317" width="5.42578125" bestFit="1" customWidth="1"/>
    <col min="2318" max="2318" width="7.140625" bestFit="1" customWidth="1"/>
    <col min="2319" max="2319" width="6.42578125" bestFit="1" customWidth="1"/>
    <col min="2320" max="2320" width="5.85546875" bestFit="1" customWidth="1"/>
    <col min="2321" max="2321" width="6.28515625" bestFit="1" customWidth="1"/>
    <col min="2322" max="2322" width="6.140625" bestFit="1" customWidth="1"/>
    <col min="2561" max="2561" width="34.5703125" customWidth="1"/>
    <col min="2562" max="2562" width="6.5703125" bestFit="1" customWidth="1"/>
    <col min="2563" max="2563" width="7.5703125" bestFit="1" customWidth="1"/>
    <col min="2564" max="2564" width="10" bestFit="1" customWidth="1"/>
    <col min="2565" max="2565" width="11" customWidth="1"/>
    <col min="2566" max="2566" width="7" bestFit="1" customWidth="1"/>
    <col min="2567" max="2567" width="6.42578125" bestFit="1" customWidth="1"/>
    <col min="2568" max="2568" width="5.28515625" customWidth="1"/>
    <col min="2569" max="2569" width="5.5703125" bestFit="1" customWidth="1"/>
    <col min="2570" max="2572" width="5.28515625" bestFit="1" customWidth="1"/>
    <col min="2573" max="2573" width="5.42578125" bestFit="1" customWidth="1"/>
    <col min="2574" max="2574" width="7.140625" bestFit="1" customWidth="1"/>
    <col min="2575" max="2575" width="6.42578125" bestFit="1" customWidth="1"/>
    <col min="2576" max="2576" width="5.85546875" bestFit="1" customWidth="1"/>
    <col min="2577" max="2577" width="6.28515625" bestFit="1" customWidth="1"/>
    <col min="2578" max="2578" width="6.140625" bestFit="1" customWidth="1"/>
    <col min="2817" max="2817" width="34.5703125" customWidth="1"/>
    <col min="2818" max="2818" width="6.5703125" bestFit="1" customWidth="1"/>
    <col min="2819" max="2819" width="7.5703125" bestFit="1" customWidth="1"/>
    <col min="2820" max="2820" width="10" bestFit="1" customWidth="1"/>
    <col min="2821" max="2821" width="11" customWidth="1"/>
    <col min="2822" max="2822" width="7" bestFit="1" customWidth="1"/>
    <col min="2823" max="2823" width="6.42578125" bestFit="1" customWidth="1"/>
    <col min="2824" max="2824" width="5.28515625" customWidth="1"/>
    <col min="2825" max="2825" width="5.5703125" bestFit="1" customWidth="1"/>
    <col min="2826" max="2828" width="5.28515625" bestFit="1" customWidth="1"/>
    <col min="2829" max="2829" width="5.42578125" bestFit="1" customWidth="1"/>
    <col min="2830" max="2830" width="7.140625" bestFit="1" customWidth="1"/>
    <col min="2831" max="2831" width="6.42578125" bestFit="1" customWidth="1"/>
    <col min="2832" max="2832" width="5.85546875" bestFit="1" customWidth="1"/>
    <col min="2833" max="2833" width="6.28515625" bestFit="1" customWidth="1"/>
    <col min="2834" max="2834" width="6.140625" bestFit="1" customWidth="1"/>
    <col min="3073" max="3073" width="34.5703125" customWidth="1"/>
    <col min="3074" max="3074" width="6.5703125" bestFit="1" customWidth="1"/>
    <col min="3075" max="3075" width="7.5703125" bestFit="1" customWidth="1"/>
    <col min="3076" max="3076" width="10" bestFit="1" customWidth="1"/>
    <col min="3077" max="3077" width="11" customWidth="1"/>
    <col min="3078" max="3078" width="7" bestFit="1" customWidth="1"/>
    <col min="3079" max="3079" width="6.42578125" bestFit="1" customWidth="1"/>
    <col min="3080" max="3080" width="5.28515625" customWidth="1"/>
    <col min="3081" max="3081" width="5.5703125" bestFit="1" customWidth="1"/>
    <col min="3082" max="3084" width="5.28515625" bestFit="1" customWidth="1"/>
    <col min="3085" max="3085" width="5.42578125" bestFit="1" customWidth="1"/>
    <col min="3086" max="3086" width="7.140625" bestFit="1" customWidth="1"/>
    <col min="3087" max="3087" width="6.42578125" bestFit="1" customWidth="1"/>
    <col min="3088" max="3088" width="5.85546875" bestFit="1" customWidth="1"/>
    <col min="3089" max="3089" width="6.28515625" bestFit="1" customWidth="1"/>
    <col min="3090" max="3090" width="6.140625" bestFit="1" customWidth="1"/>
    <col min="3329" max="3329" width="34.5703125" customWidth="1"/>
    <col min="3330" max="3330" width="6.5703125" bestFit="1" customWidth="1"/>
    <col min="3331" max="3331" width="7.5703125" bestFit="1" customWidth="1"/>
    <col min="3332" max="3332" width="10" bestFit="1" customWidth="1"/>
    <col min="3333" max="3333" width="11" customWidth="1"/>
    <col min="3334" max="3334" width="7" bestFit="1" customWidth="1"/>
    <col min="3335" max="3335" width="6.42578125" bestFit="1" customWidth="1"/>
    <col min="3336" max="3336" width="5.28515625" customWidth="1"/>
    <col min="3337" max="3337" width="5.5703125" bestFit="1" customWidth="1"/>
    <col min="3338" max="3340" width="5.28515625" bestFit="1" customWidth="1"/>
    <col min="3341" max="3341" width="5.42578125" bestFit="1" customWidth="1"/>
    <col min="3342" max="3342" width="7.140625" bestFit="1" customWidth="1"/>
    <col min="3343" max="3343" width="6.42578125" bestFit="1" customWidth="1"/>
    <col min="3344" max="3344" width="5.85546875" bestFit="1" customWidth="1"/>
    <col min="3345" max="3345" width="6.28515625" bestFit="1" customWidth="1"/>
    <col min="3346" max="3346" width="6.140625" bestFit="1" customWidth="1"/>
    <col min="3585" max="3585" width="34.5703125" customWidth="1"/>
    <col min="3586" max="3586" width="6.5703125" bestFit="1" customWidth="1"/>
    <col min="3587" max="3587" width="7.5703125" bestFit="1" customWidth="1"/>
    <col min="3588" max="3588" width="10" bestFit="1" customWidth="1"/>
    <col min="3589" max="3589" width="11" customWidth="1"/>
    <col min="3590" max="3590" width="7" bestFit="1" customWidth="1"/>
    <col min="3591" max="3591" width="6.42578125" bestFit="1" customWidth="1"/>
    <col min="3592" max="3592" width="5.28515625" customWidth="1"/>
    <col min="3593" max="3593" width="5.5703125" bestFit="1" customWidth="1"/>
    <col min="3594" max="3596" width="5.28515625" bestFit="1" customWidth="1"/>
    <col min="3597" max="3597" width="5.42578125" bestFit="1" customWidth="1"/>
    <col min="3598" max="3598" width="7.140625" bestFit="1" customWidth="1"/>
    <col min="3599" max="3599" width="6.42578125" bestFit="1" customWidth="1"/>
    <col min="3600" max="3600" width="5.85546875" bestFit="1" customWidth="1"/>
    <col min="3601" max="3601" width="6.28515625" bestFit="1" customWidth="1"/>
    <col min="3602" max="3602" width="6.140625" bestFit="1" customWidth="1"/>
    <col min="3841" max="3841" width="34.5703125" customWidth="1"/>
    <col min="3842" max="3842" width="6.5703125" bestFit="1" customWidth="1"/>
    <col min="3843" max="3843" width="7.5703125" bestFit="1" customWidth="1"/>
    <col min="3844" max="3844" width="10" bestFit="1" customWidth="1"/>
    <col min="3845" max="3845" width="11" customWidth="1"/>
    <col min="3846" max="3846" width="7" bestFit="1" customWidth="1"/>
    <col min="3847" max="3847" width="6.42578125" bestFit="1" customWidth="1"/>
    <col min="3848" max="3848" width="5.28515625" customWidth="1"/>
    <col min="3849" max="3849" width="5.5703125" bestFit="1" customWidth="1"/>
    <col min="3850" max="3852" width="5.28515625" bestFit="1" customWidth="1"/>
    <col min="3853" max="3853" width="5.42578125" bestFit="1" customWidth="1"/>
    <col min="3854" max="3854" width="7.140625" bestFit="1" customWidth="1"/>
    <col min="3855" max="3855" width="6.42578125" bestFit="1" customWidth="1"/>
    <col min="3856" max="3856" width="5.85546875" bestFit="1" customWidth="1"/>
    <col min="3857" max="3857" width="6.28515625" bestFit="1" customWidth="1"/>
    <col min="3858" max="3858" width="6.140625" bestFit="1" customWidth="1"/>
    <col min="4097" max="4097" width="34.5703125" customWidth="1"/>
    <col min="4098" max="4098" width="6.5703125" bestFit="1" customWidth="1"/>
    <col min="4099" max="4099" width="7.5703125" bestFit="1" customWidth="1"/>
    <col min="4100" max="4100" width="10" bestFit="1" customWidth="1"/>
    <col min="4101" max="4101" width="11" customWidth="1"/>
    <col min="4102" max="4102" width="7" bestFit="1" customWidth="1"/>
    <col min="4103" max="4103" width="6.42578125" bestFit="1" customWidth="1"/>
    <col min="4104" max="4104" width="5.28515625" customWidth="1"/>
    <col min="4105" max="4105" width="5.5703125" bestFit="1" customWidth="1"/>
    <col min="4106" max="4108" width="5.28515625" bestFit="1" customWidth="1"/>
    <col min="4109" max="4109" width="5.42578125" bestFit="1" customWidth="1"/>
    <col min="4110" max="4110" width="7.140625" bestFit="1" customWidth="1"/>
    <col min="4111" max="4111" width="6.42578125" bestFit="1" customWidth="1"/>
    <col min="4112" max="4112" width="5.85546875" bestFit="1" customWidth="1"/>
    <col min="4113" max="4113" width="6.28515625" bestFit="1" customWidth="1"/>
    <col min="4114" max="4114" width="6.140625" bestFit="1" customWidth="1"/>
    <col min="4353" max="4353" width="34.5703125" customWidth="1"/>
    <col min="4354" max="4354" width="6.5703125" bestFit="1" customWidth="1"/>
    <col min="4355" max="4355" width="7.5703125" bestFit="1" customWidth="1"/>
    <col min="4356" max="4356" width="10" bestFit="1" customWidth="1"/>
    <col min="4357" max="4357" width="11" customWidth="1"/>
    <col min="4358" max="4358" width="7" bestFit="1" customWidth="1"/>
    <col min="4359" max="4359" width="6.42578125" bestFit="1" customWidth="1"/>
    <col min="4360" max="4360" width="5.28515625" customWidth="1"/>
    <col min="4361" max="4361" width="5.5703125" bestFit="1" customWidth="1"/>
    <col min="4362" max="4364" width="5.28515625" bestFit="1" customWidth="1"/>
    <col min="4365" max="4365" width="5.42578125" bestFit="1" customWidth="1"/>
    <col min="4366" max="4366" width="7.140625" bestFit="1" customWidth="1"/>
    <col min="4367" max="4367" width="6.42578125" bestFit="1" customWidth="1"/>
    <col min="4368" max="4368" width="5.85546875" bestFit="1" customWidth="1"/>
    <col min="4369" max="4369" width="6.28515625" bestFit="1" customWidth="1"/>
    <col min="4370" max="4370" width="6.140625" bestFit="1" customWidth="1"/>
    <col min="4609" max="4609" width="34.5703125" customWidth="1"/>
    <col min="4610" max="4610" width="6.5703125" bestFit="1" customWidth="1"/>
    <col min="4611" max="4611" width="7.5703125" bestFit="1" customWidth="1"/>
    <col min="4612" max="4612" width="10" bestFit="1" customWidth="1"/>
    <col min="4613" max="4613" width="11" customWidth="1"/>
    <col min="4614" max="4614" width="7" bestFit="1" customWidth="1"/>
    <col min="4615" max="4615" width="6.42578125" bestFit="1" customWidth="1"/>
    <col min="4616" max="4616" width="5.28515625" customWidth="1"/>
    <col min="4617" max="4617" width="5.5703125" bestFit="1" customWidth="1"/>
    <col min="4618" max="4620" width="5.28515625" bestFit="1" customWidth="1"/>
    <col min="4621" max="4621" width="5.42578125" bestFit="1" customWidth="1"/>
    <col min="4622" max="4622" width="7.140625" bestFit="1" customWidth="1"/>
    <col min="4623" max="4623" width="6.42578125" bestFit="1" customWidth="1"/>
    <col min="4624" max="4624" width="5.85546875" bestFit="1" customWidth="1"/>
    <col min="4625" max="4625" width="6.28515625" bestFit="1" customWidth="1"/>
    <col min="4626" max="4626" width="6.140625" bestFit="1" customWidth="1"/>
    <col min="4865" max="4865" width="34.5703125" customWidth="1"/>
    <col min="4866" max="4866" width="6.5703125" bestFit="1" customWidth="1"/>
    <col min="4867" max="4867" width="7.5703125" bestFit="1" customWidth="1"/>
    <col min="4868" max="4868" width="10" bestFit="1" customWidth="1"/>
    <col min="4869" max="4869" width="11" customWidth="1"/>
    <col min="4870" max="4870" width="7" bestFit="1" customWidth="1"/>
    <col min="4871" max="4871" width="6.42578125" bestFit="1" customWidth="1"/>
    <col min="4872" max="4872" width="5.28515625" customWidth="1"/>
    <col min="4873" max="4873" width="5.5703125" bestFit="1" customWidth="1"/>
    <col min="4874" max="4876" width="5.28515625" bestFit="1" customWidth="1"/>
    <col min="4877" max="4877" width="5.42578125" bestFit="1" customWidth="1"/>
    <col min="4878" max="4878" width="7.140625" bestFit="1" customWidth="1"/>
    <col min="4879" max="4879" width="6.42578125" bestFit="1" customWidth="1"/>
    <col min="4880" max="4880" width="5.85546875" bestFit="1" customWidth="1"/>
    <col min="4881" max="4881" width="6.28515625" bestFit="1" customWidth="1"/>
    <col min="4882" max="4882" width="6.140625" bestFit="1" customWidth="1"/>
    <col min="5121" max="5121" width="34.5703125" customWidth="1"/>
    <col min="5122" max="5122" width="6.5703125" bestFit="1" customWidth="1"/>
    <col min="5123" max="5123" width="7.5703125" bestFit="1" customWidth="1"/>
    <col min="5124" max="5124" width="10" bestFit="1" customWidth="1"/>
    <col min="5125" max="5125" width="11" customWidth="1"/>
    <col min="5126" max="5126" width="7" bestFit="1" customWidth="1"/>
    <col min="5127" max="5127" width="6.42578125" bestFit="1" customWidth="1"/>
    <col min="5128" max="5128" width="5.28515625" customWidth="1"/>
    <col min="5129" max="5129" width="5.5703125" bestFit="1" customWidth="1"/>
    <col min="5130" max="5132" width="5.28515625" bestFit="1" customWidth="1"/>
    <col min="5133" max="5133" width="5.42578125" bestFit="1" customWidth="1"/>
    <col min="5134" max="5134" width="7.140625" bestFit="1" customWidth="1"/>
    <col min="5135" max="5135" width="6.42578125" bestFit="1" customWidth="1"/>
    <col min="5136" max="5136" width="5.85546875" bestFit="1" customWidth="1"/>
    <col min="5137" max="5137" width="6.28515625" bestFit="1" customWidth="1"/>
    <col min="5138" max="5138" width="6.140625" bestFit="1" customWidth="1"/>
    <col min="5377" max="5377" width="34.5703125" customWidth="1"/>
    <col min="5378" max="5378" width="6.5703125" bestFit="1" customWidth="1"/>
    <col min="5379" max="5379" width="7.5703125" bestFit="1" customWidth="1"/>
    <col min="5380" max="5380" width="10" bestFit="1" customWidth="1"/>
    <col min="5381" max="5381" width="11" customWidth="1"/>
    <col min="5382" max="5382" width="7" bestFit="1" customWidth="1"/>
    <col min="5383" max="5383" width="6.42578125" bestFit="1" customWidth="1"/>
    <col min="5384" max="5384" width="5.28515625" customWidth="1"/>
    <col min="5385" max="5385" width="5.5703125" bestFit="1" customWidth="1"/>
    <col min="5386" max="5388" width="5.28515625" bestFit="1" customWidth="1"/>
    <col min="5389" max="5389" width="5.42578125" bestFit="1" customWidth="1"/>
    <col min="5390" max="5390" width="7.140625" bestFit="1" customWidth="1"/>
    <col min="5391" max="5391" width="6.42578125" bestFit="1" customWidth="1"/>
    <col min="5392" max="5392" width="5.85546875" bestFit="1" customWidth="1"/>
    <col min="5393" max="5393" width="6.28515625" bestFit="1" customWidth="1"/>
    <col min="5394" max="5394" width="6.140625" bestFit="1" customWidth="1"/>
    <col min="5633" max="5633" width="34.5703125" customWidth="1"/>
    <col min="5634" max="5634" width="6.5703125" bestFit="1" customWidth="1"/>
    <col min="5635" max="5635" width="7.5703125" bestFit="1" customWidth="1"/>
    <col min="5636" max="5636" width="10" bestFit="1" customWidth="1"/>
    <col min="5637" max="5637" width="11" customWidth="1"/>
    <col min="5638" max="5638" width="7" bestFit="1" customWidth="1"/>
    <col min="5639" max="5639" width="6.42578125" bestFit="1" customWidth="1"/>
    <col min="5640" max="5640" width="5.28515625" customWidth="1"/>
    <col min="5641" max="5641" width="5.5703125" bestFit="1" customWidth="1"/>
    <col min="5642" max="5644" width="5.28515625" bestFit="1" customWidth="1"/>
    <col min="5645" max="5645" width="5.42578125" bestFit="1" customWidth="1"/>
    <col min="5646" max="5646" width="7.140625" bestFit="1" customWidth="1"/>
    <col min="5647" max="5647" width="6.42578125" bestFit="1" customWidth="1"/>
    <col min="5648" max="5648" width="5.85546875" bestFit="1" customWidth="1"/>
    <col min="5649" max="5649" width="6.28515625" bestFit="1" customWidth="1"/>
    <col min="5650" max="5650" width="6.140625" bestFit="1" customWidth="1"/>
    <col min="5889" max="5889" width="34.5703125" customWidth="1"/>
    <col min="5890" max="5890" width="6.5703125" bestFit="1" customWidth="1"/>
    <col min="5891" max="5891" width="7.5703125" bestFit="1" customWidth="1"/>
    <col min="5892" max="5892" width="10" bestFit="1" customWidth="1"/>
    <col min="5893" max="5893" width="11" customWidth="1"/>
    <col min="5894" max="5894" width="7" bestFit="1" customWidth="1"/>
    <col min="5895" max="5895" width="6.42578125" bestFit="1" customWidth="1"/>
    <col min="5896" max="5896" width="5.28515625" customWidth="1"/>
    <col min="5897" max="5897" width="5.5703125" bestFit="1" customWidth="1"/>
    <col min="5898" max="5900" width="5.28515625" bestFit="1" customWidth="1"/>
    <col min="5901" max="5901" width="5.42578125" bestFit="1" customWidth="1"/>
    <col min="5902" max="5902" width="7.140625" bestFit="1" customWidth="1"/>
    <col min="5903" max="5903" width="6.42578125" bestFit="1" customWidth="1"/>
    <col min="5904" max="5904" width="5.85546875" bestFit="1" customWidth="1"/>
    <col min="5905" max="5905" width="6.28515625" bestFit="1" customWidth="1"/>
    <col min="5906" max="5906" width="6.140625" bestFit="1" customWidth="1"/>
    <col min="6145" max="6145" width="34.5703125" customWidth="1"/>
    <col min="6146" max="6146" width="6.5703125" bestFit="1" customWidth="1"/>
    <col min="6147" max="6147" width="7.5703125" bestFit="1" customWidth="1"/>
    <col min="6148" max="6148" width="10" bestFit="1" customWidth="1"/>
    <col min="6149" max="6149" width="11" customWidth="1"/>
    <col min="6150" max="6150" width="7" bestFit="1" customWidth="1"/>
    <col min="6151" max="6151" width="6.42578125" bestFit="1" customWidth="1"/>
    <col min="6152" max="6152" width="5.28515625" customWidth="1"/>
    <col min="6153" max="6153" width="5.5703125" bestFit="1" customWidth="1"/>
    <col min="6154" max="6156" width="5.28515625" bestFit="1" customWidth="1"/>
    <col min="6157" max="6157" width="5.42578125" bestFit="1" customWidth="1"/>
    <col min="6158" max="6158" width="7.140625" bestFit="1" customWidth="1"/>
    <col min="6159" max="6159" width="6.42578125" bestFit="1" customWidth="1"/>
    <col min="6160" max="6160" width="5.85546875" bestFit="1" customWidth="1"/>
    <col min="6161" max="6161" width="6.28515625" bestFit="1" customWidth="1"/>
    <col min="6162" max="6162" width="6.140625" bestFit="1" customWidth="1"/>
    <col min="6401" max="6401" width="34.5703125" customWidth="1"/>
    <col min="6402" max="6402" width="6.5703125" bestFit="1" customWidth="1"/>
    <col min="6403" max="6403" width="7.5703125" bestFit="1" customWidth="1"/>
    <col min="6404" max="6404" width="10" bestFit="1" customWidth="1"/>
    <col min="6405" max="6405" width="11" customWidth="1"/>
    <col min="6406" max="6406" width="7" bestFit="1" customWidth="1"/>
    <col min="6407" max="6407" width="6.42578125" bestFit="1" customWidth="1"/>
    <col min="6408" max="6408" width="5.28515625" customWidth="1"/>
    <col min="6409" max="6409" width="5.5703125" bestFit="1" customWidth="1"/>
    <col min="6410" max="6412" width="5.28515625" bestFit="1" customWidth="1"/>
    <col min="6413" max="6413" width="5.42578125" bestFit="1" customWidth="1"/>
    <col min="6414" max="6414" width="7.140625" bestFit="1" customWidth="1"/>
    <col min="6415" max="6415" width="6.42578125" bestFit="1" customWidth="1"/>
    <col min="6416" max="6416" width="5.85546875" bestFit="1" customWidth="1"/>
    <col min="6417" max="6417" width="6.28515625" bestFit="1" customWidth="1"/>
    <col min="6418" max="6418" width="6.140625" bestFit="1" customWidth="1"/>
    <col min="6657" max="6657" width="34.5703125" customWidth="1"/>
    <col min="6658" max="6658" width="6.5703125" bestFit="1" customWidth="1"/>
    <col min="6659" max="6659" width="7.5703125" bestFit="1" customWidth="1"/>
    <col min="6660" max="6660" width="10" bestFit="1" customWidth="1"/>
    <col min="6661" max="6661" width="11" customWidth="1"/>
    <col min="6662" max="6662" width="7" bestFit="1" customWidth="1"/>
    <col min="6663" max="6663" width="6.42578125" bestFit="1" customWidth="1"/>
    <col min="6664" max="6664" width="5.28515625" customWidth="1"/>
    <col min="6665" max="6665" width="5.5703125" bestFit="1" customWidth="1"/>
    <col min="6666" max="6668" width="5.28515625" bestFit="1" customWidth="1"/>
    <col min="6669" max="6669" width="5.42578125" bestFit="1" customWidth="1"/>
    <col min="6670" max="6670" width="7.140625" bestFit="1" customWidth="1"/>
    <col min="6671" max="6671" width="6.42578125" bestFit="1" customWidth="1"/>
    <col min="6672" max="6672" width="5.85546875" bestFit="1" customWidth="1"/>
    <col min="6673" max="6673" width="6.28515625" bestFit="1" customWidth="1"/>
    <col min="6674" max="6674" width="6.140625" bestFit="1" customWidth="1"/>
    <col min="6913" max="6913" width="34.5703125" customWidth="1"/>
    <col min="6914" max="6914" width="6.5703125" bestFit="1" customWidth="1"/>
    <col min="6915" max="6915" width="7.5703125" bestFit="1" customWidth="1"/>
    <col min="6916" max="6916" width="10" bestFit="1" customWidth="1"/>
    <col min="6917" max="6917" width="11" customWidth="1"/>
    <col min="6918" max="6918" width="7" bestFit="1" customWidth="1"/>
    <col min="6919" max="6919" width="6.42578125" bestFit="1" customWidth="1"/>
    <col min="6920" max="6920" width="5.28515625" customWidth="1"/>
    <col min="6921" max="6921" width="5.5703125" bestFit="1" customWidth="1"/>
    <col min="6922" max="6924" width="5.28515625" bestFit="1" customWidth="1"/>
    <col min="6925" max="6925" width="5.42578125" bestFit="1" customWidth="1"/>
    <col min="6926" max="6926" width="7.140625" bestFit="1" customWidth="1"/>
    <col min="6927" max="6927" width="6.42578125" bestFit="1" customWidth="1"/>
    <col min="6928" max="6928" width="5.85546875" bestFit="1" customWidth="1"/>
    <col min="6929" max="6929" width="6.28515625" bestFit="1" customWidth="1"/>
    <col min="6930" max="6930" width="6.140625" bestFit="1" customWidth="1"/>
    <col min="7169" max="7169" width="34.5703125" customWidth="1"/>
    <col min="7170" max="7170" width="6.5703125" bestFit="1" customWidth="1"/>
    <col min="7171" max="7171" width="7.5703125" bestFit="1" customWidth="1"/>
    <col min="7172" max="7172" width="10" bestFit="1" customWidth="1"/>
    <col min="7173" max="7173" width="11" customWidth="1"/>
    <col min="7174" max="7174" width="7" bestFit="1" customWidth="1"/>
    <col min="7175" max="7175" width="6.42578125" bestFit="1" customWidth="1"/>
    <col min="7176" max="7176" width="5.28515625" customWidth="1"/>
    <col min="7177" max="7177" width="5.5703125" bestFit="1" customWidth="1"/>
    <col min="7178" max="7180" width="5.28515625" bestFit="1" customWidth="1"/>
    <col min="7181" max="7181" width="5.42578125" bestFit="1" customWidth="1"/>
    <col min="7182" max="7182" width="7.140625" bestFit="1" customWidth="1"/>
    <col min="7183" max="7183" width="6.42578125" bestFit="1" customWidth="1"/>
    <col min="7184" max="7184" width="5.85546875" bestFit="1" customWidth="1"/>
    <col min="7185" max="7185" width="6.28515625" bestFit="1" customWidth="1"/>
    <col min="7186" max="7186" width="6.140625" bestFit="1" customWidth="1"/>
    <col min="7425" max="7425" width="34.5703125" customWidth="1"/>
    <col min="7426" max="7426" width="6.5703125" bestFit="1" customWidth="1"/>
    <col min="7427" max="7427" width="7.5703125" bestFit="1" customWidth="1"/>
    <col min="7428" max="7428" width="10" bestFit="1" customWidth="1"/>
    <col min="7429" max="7429" width="11" customWidth="1"/>
    <col min="7430" max="7430" width="7" bestFit="1" customWidth="1"/>
    <col min="7431" max="7431" width="6.42578125" bestFit="1" customWidth="1"/>
    <col min="7432" max="7432" width="5.28515625" customWidth="1"/>
    <col min="7433" max="7433" width="5.5703125" bestFit="1" customWidth="1"/>
    <col min="7434" max="7436" width="5.28515625" bestFit="1" customWidth="1"/>
    <col min="7437" max="7437" width="5.42578125" bestFit="1" customWidth="1"/>
    <col min="7438" max="7438" width="7.140625" bestFit="1" customWidth="1"/>
    <col min="7439" max="7439" width="6.42578125" bestFit="1" customWidth="1"/>
    <col min="7440" max="7440" width="5.85546875" bestFit="1" customWidth="1"/>
    <col min="7441" max="7441" width="6.28515625" bestFit="1" customWidth="1"/>
    <col min="7442" max="7442" width="6.140625" bestFit="1" customWidth="1"/>
    <col min="7681" max="7681" width="34.5703125" customWidth="1"/>
    <col min="7682" max="7682" width="6.5703125" bestFit="1" customWidth="1"/>
    <col min="7683" max="7683" width="7.5703125" bestFit="1" customWidth="1"/>
    <col min="7684" max="7684" width="10" bestFit="1" customWidth="1"/>
    <col min="7685" max="7685" width="11" customWidth="1"/>
    <col min="7686" max="7686" width="7" bestFit="1" customWidth="1"/>
    <col min="7687" max="7687" width="6.42578125" bestFit="1" customWidth="1"/>
    <col min="7688" max="7688" width="5.28515625" customWidth="1"/>
    <col min="7689" max="7689" width="5.5703125" bestFit="1" customWidth="1"/>
    <col min="7690" max="7692" width="5.28515625" bestFit="1" customWidth="1"/>
    <col min="7693" max="7693" width="5.42578125" bestFit="1" customWidth="1"/>
    <col min="7694" max="7694" width="7.140625" bestFit="1" customWidth="1"/>
    <col min="7695" max="7695" width="6.42578125" bestFit="1" customWidth="1"/>
    <col min="7696" max="7696" width="5.85546875" bestFit="1" customWidth="1"/>
    <col min="7697" max="7697" width="6.28515625" bestFit="1" customWidth="1"/>
    <col min="7698" max="7698" width="6.140625" bestFit="1" customWidth="1"/>
    <col min="7937" max="7937" width="34.5703125" customWidth="1"/>
    <col min="7938" max="7938" width="6.5703125" bestFit="1" customWidth="1"/>
    <col min="7939" max="7939" width="7.5703125" bestFit="1" customWidth="1"/>
    <col min="7940" max="7940" width="10" bestFit="1" customWidth="1"/>
    <col min="7941" max="7941" width="11" customWidth="1"/>
    <col min="7942" max="7942" width="7" bestFit="1" customWidth="1"/>
    <col min="7943" max="7943" width="6.42578125" bestFit="1" customWidth="1"/>
    <col min="7944" max="7944" width="5.28515625" customWidth="1"/>
    <col min="7945" max="7945" width="5.5703125" bestFit="1" customWidth="1"/>
    <col min="7946" max="7948" width="5.28515625" bestFit="1" customWidth="1"/>
    <col min="7949" max="7949" width="5.42578125" bestFit="1" customWidth="1"/>
    <col min="7950" max="7950" width="7.140625" bestFit="1" customWidth="1"/>
    <col min="7951" max="7951" width="6.42578125" bestFit="1" customWidth="1"/>
    <col min="7952" max="7952" width="5.85546875" bestFit="1" customWidth="1"/>
    <col min="7953" max="7953" width="6.28515625" bestFit="1" customWidth="1"/>
    <col min="7954" max="7954" width="6.140625" bestFit="1" customWidth="1"/>
    <col min="8193" max="8193" width="34.5703125" customWidth="1"/>
    <col min="8194" max="8194" width="6.5703125" bestFit="1" customWidth="1"/>
    <col min="8195" max="8195" width="7.5703125" bestFit="1" customWidth="1"/>
    <col min="8196" max="8196" width="10" bestFit="1" customWidth="1"/>
    <col min="8197" max="8197" width="11" customWidth="1"/>
    <col min="8198" max="8198" width="7" bestFit="1" customWidth="1"/>
    <col min="8199" max="8199" width="6.42578125" bestFit="1" customWidth="1"/>
    <col min="8200" max="8200" width="5.28515625" customWidth="1"/>
    <col min="8201" max="8201" width="5.5703125" bestFit="1" customWidth="1"/>
    <col min="8202" max="8204" width="5.28515625" bestFit="1" customWidth="1"/>
    <col min="8205" max="8205" width="5.42578125" bestFit="1" customWidth="1"/>
    <col min="8206" max="8206" width="7.140625" bestFit="1" customWidth="1"/>
    <col min="8207" max="8207" width="6.42578125" bestFit="1" customWidth="1"/>
    <col min="8208" max="8208" width="5.85546875" bestFit="1" customWidth="1"/>
    <col min="8209" max="8209" width="6.28515625" bestFit="1" customWidth="1"/>
    <col min="8210" max="8210" width="6.140625" bestFit="1" customWidth="1"/>
    <col min="8449" max="8449" width="34.5703125" customWidth="1"/>
    <col min="8450" max="8450" width="6.5703125" bestFit="1" customWidth="1"/>
    <col min="8451" max="8451" width="7.5703125" bestFit="1" customWidth="1"/>
    <col min="8452" max="8452" width="10" bestFit="1" customWidth="1"/>
    <col min="8453" max="8453" width="11" customWidth="1"/>
    <col min="8454" max="8454" width="7" bestFit="1" customWidth="1"/>
    <col min="8455" max="8455" width="6.42578125" bestFit="1" customWidth="1"/>
    <col min="8456" max="8456" width="5.28515625" customWidth="1"/>
    <col min="8457" max="8457" width="5.5703125" bestFit="1" customWidth="1"/>
    <col min="8458" max="8460" width="5.28515625" bestFit="1" customWidth="1"/>
    <col min="8461" max="8461" width="5.42578125" bestFit="1" customWidth="1"/>
    <col min="8462" max="8462" width="7.140625" bestFit="1" customWidth="1"/>
    <col min="8463" max="8463" width="6.42578125" bestFit="1" customWidth="1"/>
    <col min="8464" max="8464" width="5.85546875" bestFit="1" customWidth="1"/>
    <col min="8465" max="8465" width="6.28515625" bestFit="1" customWidth="1"/>
    <col min="8466" max="8466" width="6.140625" bestFit="1" customWidth="1"/>
    <col min="8705" max="8705" width="34.5703125" customWidth="1"/>
    <col min="8706" max="8706" width="6.5703125" bestFit="1" customWidth="1"/>
    <col min="8707" max="8707" width="7.5703125" bestFit="1" customWidth="1"/>
    <col min="8708" max="8708" width="10" bestFit="1" customWidth="1"/>
    <col min="8709" max="8709" width="11" customWidth="1"/>
    <col min="8710" max="8710" width="7" bestFit="1" customWidth="1"/>
    <col min="8711" max="8711" width="6.42578125" bestFit="1" customWidth="1"/>
    <col min="8712" max="8712" width="5.28515625" customWidth="1"/>
    <col min="8713" max="8713" width="5.5703125" bestFit="1" customWidth="1"/>
    <col min="8714" max="8716" width="5.28515625" bestFit="1" customWidth="1"/>
    <col min="8717" max="8717" width="5.42578125" bestFit="1" customWidth="1"/>
    <col min="8718" max="8718" width="7.140625" bestFit="1" customWidth="1"/>
    <col min="8719" max="8719" width="6.42578125" bestFit="1" customWidth="1"/>
    <col min="8720" max="8720" width="5.85546875" bestFit="1" customWidth="1"/>
    <col min="8721" max="8721" width="6.28515625" bestFit="1" customWidth="1"/>
    <col min="8722" max="8722" width="6.140625" bestFit="1" customWidth="1"/>
    <col min="8961" max="8961" width="34.5703125" customWidth="1"/>
    <col min="8962" max="8962" width="6.5703125" bestFit="1" customWidth="1"/>
    <col min="8963" max="8963" width="7.5703125" bestFit="1" customWidth="1"/>
    <col min="8964" max="8964" width="10" bestFit="1" customWidth="1"/>
    <col min="8965" max="8965" width="11" customWidth="1"/>
    <col min="8966" max="8966" width="7" bestFit="1" customWidth="1"/>
    <col min="8967" max="8967" width="6.42578125" bestFit="1" customWidth="1"/>
    <col min="8968" max="8968" width="5.28515625" customWidth="1"/>
    <col min="8969" max="8969" width="5.5703125" bestFit="1" customWidth="1"/>
    <col min="8970" max="8972" width="5.28515625" bestFit="1" customWidth="1"/>
    <col min="8973" max="8973" width="5.42578125" bestFit="1" customWidth="1"/>
    <col min="8974" max="8974" width="7.140625" bestFit="1" customWidth="1"/>
    <col min="8975" max="8975" width="6.42578125" bestFit="1" customWidth="1"/>
    <col min="8976" max="8976" width="5.85546875" bestFit="1" customWidth="1"/>
    <col min="8977" max="8977" width="6.28515625" bestFit="1" customWidth="1"/>
    <col min="8978" max="8978" width="6.140625" bestFit="1" customWidth="1"/>
    <col min="9217" max="9217" width="34.5703125" customWidth="1"/>
    <col min="9218" max="9218" width="6.5703125" bestFit="1" customWidth="1"/>
    <col min="9219" max="9219" width="7.5703125" bestFit="1" customWidth="1"/>
    <col min="9220" max="9220" width="10" bestFit="1" customWidth="1"/>
    <col min="9221" max="9221" width="11" customWidth="1"/>
    <col min="9222" max="9222" width="7" bestFit="1" customWidth="1"/>
    <col min="9223" max="9223" width="6.42578125" bestFit="1" customWidth="1"/>
    <col min="9224" max="9224" width="5.28515625" customWidth="1"/>
    <col min="9225" max="9225" width="5.5703125" bestFit="1" customWidth="1"/>
    <col min="9226" max="9228" width="5.28515625" bestFit="1" customWidth="1"/>
    <col min="9229" max="9229" width="5.42578125" bestFit="1" customWidth="1"/>
    <col min="9230" max="9230" width="7.140625" bestFit="1" customWidth="1"/>
    <col min="9231" max="9231" width="6.42578125" bestFit="1" customWidth="1"/>
    <col min="9232" max="9232" width="5.85546875" bestFit="1" customWidth="1"/>
    <col min="9233" max="9233" width="6.28515625" bestFit="1" customWidth="1"/>
    <col min="9234" max="9234" width="6.140625" bestFit="1" customWidth="1"/>
    <col min="9473" max="9473" width="34.5703125" customWidth="1"/>
    <col min="9474" max="9474" width="6.5703125" bestFit="1" customWidth="1"/>
    <col min="9475" max="9475" width="7.5703125" bestFit="1" customWidth="1"/>
    <col min="9476" max="9476" width="10" bestFit="1" customWidth="1"/>
    <col min="9477" max="9477" width="11" customWidth="1"/>
    <col min="9478" max="9478" width="7" bestFit="1" customWidth="1"/>
    <col min="9479" max="9479" width="6.42578125" bestFit="1" customWidth="1"/>
    <col min="9480" max="9480" width="5.28515625" customWidth="1"/>
    <col min="9481" max="9481" width="5.5703125" bestFit="1" customWidth="1"/>
    <col min="9482" max="9484" width="5.28515625" bestFit="1" customWidth="1"/>
    <col min="9485" max="9485" width="5.42578125" bestFit="1" customWidth="1"/>
    <col min="9486" max="9486" width="7.140625" bestFit="1" customWidth="1"/>
    <col min="9487" max="9487" width="6.42578125" bestFit="1" customWidth="1"/>
    <col min="9488" max="9488" width="5.85546875" bestFit="1" customWidth="1"/>
    <col min="9489" max="9489" width="6.28515625" bestFit="1" customWidth="1"/>
    <col min="9490" max="9490" width="6.140625" bestFit="1" customWidth="1"/>
    <col min="9729" max="9729" width="34.5703125" customWidth="1"/>
    <col min="9730" max="9730" width="6.5703125" bestFit="1" customWidth="1"/>
    <col min="9731" max="9731" width="7.5703125" bestFit="1" customWidth="1"/>
    <col min="9732" max="9732" width="10" bestFit="1" customWidth="1"/>
    <col min="9733" max="9733" width="11" customWidth="1"/>
    <col min="9734" max="9734" width="7" bestFit="1" customWidth="1"/>
    <col min="9735" max="9735" width="6.42578125" bestFit="1" customWidth="1"/>
    <col min="9736" max="9736" width="5.28515625" customWidth="1"/>
    <col min="9737" max="9737" width="5.5703125" bestFit="1" customWidth="1"/>
    <col min="9738" max="9740" width="5.28515625" bestFit="1" customWidth="1"/>
    <col min="9741" max="9741" width="5.42578125" bestFit="1" customWidth="1"/>
    <col min="9742" max="9742" width="7.140625" bestFit="1" customWidth="1"/>
    <col min="9743" max="9743" width="6.42578125" bestFit="1" customWidth="1"/>
    <col min="9744" max="9744" width="5.85546875" bestFit="1" customWidth="1"/>
    <col min="9745" max="9745" width="6.28515625" bestFit="1" customWidth="1"/>
    <col min="9746" max="9746" width="6.140625" bestFit="1" customWidth="1"/>
    <col min="9985" max="9985" width="34.5703125" customWidth="1"/>
    <col min="9986" max="9986" width="6.5703125" bestFit="1" customWidth="1"/>
    <col min="9987" max="9987" width="7.5703125" bestFit="1" customWidth="1"/>
    <col min="9988" max="9988" width="10" bestFit="1" customWidth="1"/>
    <col min="9989" max="9989" width="11" customWidth="1"/>
    <col min="9990" max="9990" width="7" bestFit="1" customWidth="1"/>
    <col min="9991" max="9991" width="6.42578125" bestFit="1" customWidth="1"/>
    <col min="9992" max="9992" width="5.28515625" customWidth="1"/>
    <col min="9993" max="9993" width="5.5703125" bestFit="1" customWidth="1"/>
    <col min="9994" max="9996" width="5.28515625" bestFit="1" customWidth="1"/>
    <col min="9997" max="9997" width="5.42578125" bestFit="1" customWidth="1"/>
    <col min="9998" max="9998" width="7.140625" bestFit="1" customWidth="1"/>
    <col min="9999" max="9999" width="6.42578125" bestFit="1" customWidth="1"/>
    <col min="10000" max="10000" width="5.85546875" bestFit="1" customWidth="1"/>
    <col min="10001" max="10001" width="6.28515625" bestFit="1" customWidth="1"/>
    <col min="10002" max="10002" width="6.140625" bestFit="1" customWidth="1"/>
    <col min="10241" max="10241" width="34.5703125" customWidth="1"/>
    <col min="10242" max="10242" width="6.5703125" bestFit="1" customWidth="1"/>
    <col min="10243" max="10243" width="7.5703125" bestFit="1" customWidth="1"/>
    <col min="10244" max="10244" width="10" bestFit="1" customWidth="1"/>
    <col min="10245" max="10245" width="11" customWidth="1"/>
    <col min="10246" max="10246" width="7" bestFit="1" customWidth="1"/>
    <col min="10247" max="10247" width="6.42578125" bestFit="1" customWidth="1"/>
    <col min="10248" max="10248" width="5.28515625" customWidth="1"/>
    <col min="10249" max="10249" width="5.5703125" bestFit="1" customWidth="1"/>
    <col min="10250" max="10252" width="5.28515625" bestFit="1" customWidth="1"/>
    <col min="10253" max="10253" width="5.42578125" bestFit="1" customWidth="1"/>
    <col min="10254" max="10254" width="7.140625" bestFit="1" customWidth="1"/>
    <col min="10255" max="10255" width="6.42578125" bestFit="1" customWidth="1"/>
    <col min="10256" max="10256" width="5.85546875" bestFit="1" customWidth="1"/>
    <col min="10257" max="10257" width="6.28515625" bestFit="1" customWidth="1"/>
    <col min="10258" max="10258" width="6.140625" bestFit="1" customWidth="1"/>
    <col min="10497" max="10497" width="34.5703125" customWidth="1"/>
    <col min="10498" max="10498" width="6.5703125" bestFit="1" customWidth="1"/>
    <col min="10499" max="10499" width="7.5703125" bestFit="1" customWidth="1"/>
    <col min="10500" max="10500" width="10" bestFit="1" customWidth="1"/>
    <col min="10501" max="10501" width="11" customWidth="1"/>
    <col min="10502" max="10502" width="7" bestFit="1" customWidth="1"/>
    <col min="10503" max="10503" width="6.42578125" bestFit="1" customWidth="1"/>
    <col min="10504" max="10504" width="5.28515625" customWidth="1"/>
    <col min="10505" max="10505" width="5.5703125" bestFit="1" customWidth="1"/>
    <col min="10506" max="10508" width="5.28515625" bestFit="1" customWidth="1"/>
    <col min="10509" max="10509" width="5.42578125" bestFit="1" customWidth="1"/>
    <col min="10510" max="10510" width="7.140625" bestFit="1" customWidth="1"/>
    <col min="10511" max="10511" width="6.42578125" bestFit="1" customWidth="1"/>
    <col min="10512" max="10512" width="5.85546875" bestFit="1" customWidth="1"/>
    <col min="10513" max="10513" width="6.28515625" bestFit="1" customWidth="1"/>
    <col min="10514" max="10514" width="6.140625" bestFit="1" customWidth="1"/>
    <col min="10753" max="10753" width="34.5703125" customWidth="1"/>
    <col min="10754" max="10754" width="6.5703125" bestFit="1" customWidth="1"/>
    <col min="10755" max="10755" width="7.5703125" bestFit="1" customWidth="1"/>
    <col min="10756" max="10756" width="10" bestFit="1" customWidth="1"/>
    <col min="10757" max="10757" width="11" customWidth="1"/>
    <col min="10758" max="10758" width="7" bestFit="1" customWidth="1"/>
    <col min="10759" max="10759" width="6.42578125" bestFit="1" customWidth="1"/>
    <col min="10760" max="10760" width="5.28515625" customWidth="1"/>
    <col min="10761" max="10761" width="5.5703125" bestFit="1" customWidth="1"/>
    <col min="10762" max="10764" width="5.28515625" bestFit="1" customWidth="1"/>
    <col min="10765" max="10765" width="5.42578125" bestFit="1" customWidth="1"/>
    <col min="10766" max="10766" width="7.140625" bestFit="1" customWidth="1"/>
    <col min="10767" max="10767" width="6.42578125" bestFit="1" customWidth="1"/>
    <col min="10768" max="10768" width="5.85546875" bestFit="1" customWidth="1"/>
    <col min="10769" max="10769" width="6.28515625" bestFit="1" customWidth="1"/>
    <col min="10770" max="10770" width="6.140625" bestFit="1" customWidth="1"/>
    <col min="11009" max="11009" width="34.5703125" customWidth="1"/>
    <col min="11010" max="11010" width="6.5703125" bestFit="1" customWidth="1"/>
    <col min="11011" max="11011" width="7.5703125" bestFit="1" customWidth="1"/>
    <col min="11012" max="11012" width="10" bestFit="1" customWidth="1"/>
    <col min="11013" max="11013" width="11" customWidth="1"/>
    <col min="11014" max="11014" width="7" bestFit="1" customWidth="1"/>
    <col min="11015" max="11015" width="6.42578125" bestFit="1" customWidth="1"/>
    <col min="11016" max="11016" width="5.28515625" customWidth="1"/>
    <col min="11017" max="11017" width="5.5703125" bestFit="1" customWidth="1"/>
    <col min="11018" max="11020" width="5.28515625" bestFit="1" customWidth="1"/>
    <col min="11021" max="11021" width="5.42578125" bestFit="1" customWidth="1"/>
    <col min="11022" max="11022" width="7.140625" bestFit="1" customWidth="1"/>
    <col min="11023" max="11023" width="6.42578125" bestFit="1" customWidth="1"/>
    <col min="11024" max="11024" width="5.85546875" bestFit="1" customWidth="1"/>
    <col min="11025" max="11025" width="6.28515625" bestFit="1" customWidth="1"/>
    <col min="11026" max="11026" width="6.140625" bestFit="1" customWidth="1"/>
    <col min="11265" max="11265" width="34.5703125" customWidth="1"/>
    <col min="11266" max="11266" width="6.5703125" bestFit="1" customWidth="1"/>
    <col min="11267" max="11267" width="7.5703125" bestFit="1" customWidth="1"/>
    <col min="11268" max="11268" width="10" bestFit="1" customWidth="1"/>
    <col min="11269" max="11269" width="11" customWidth="1"/>
    <col min="11270" max="11270" width="7" bestFit="1" customWidth="1"/>
    <col min="11271" max="11271" width="6.42578125" bestFit="1" customWidth="1"/>
    <col min="11272" max="11272" width="5.28515625" customWidth="1"/>
    <col min="11273" max="11273" width="5.5703125" bestFit="1" customWidth="1"/>
    <col min="11274" max="11276" width="5.28515625" bestFit="1" customWidth="1"/>
    <col min="11277" max="11277" width="5.42578125" bestFit="1" customWidth="1"/>
    <col min="11278" max="11278" width="7.140625" bestFit="1" customWidth="1"/>
    <col min="11279" max="11279" width="6.42578125" bestFit="1" customWidth="1"/>
    <col min="11280" max="11280" width="5.85546875" bestFit="1" customWidth="1"/>
    <col min="11281" max="11281" width="6.28515625" bestFit="1" customWidth="1"/>
    <col min="11282" max="11282" width="6.140625" bestFit="1" customWidth="1"/>
    <col min="11521" max="11521" width="34.5703125" customWidth="1"/>
    <col min="11522" max="11522" width="6.5703125" bestFit="1" customWidth="1"/>
    <col min="11523" max="11523" width="7.5703125" bestFit="1" customWidth="1"/>
    <col min="11524" max="11524" width="10" bestFit="1" customWidth="1"/>
    <col min="11525" max="11525" width="11" customWidth="1"/>
    <col min="11526" max="11526" width="7" bestFit="1" customWidth="1"/>
    <col min="11527" max="11527" width="6.42578125" bestFit="1" customWidth="1"/>
    <col min="11528" max="11528" width="5.28515625" customWidth="1"/>
    <col min="11529" max="11529" width="5.5703125" bestFit="1" customWidth="1"/>
    <col min="11530" max="11532" width="5.28515625" bestFit="1" customWidth="1"/>
    <col min="11533" max="11533" width="5.42578125" bestFit="1" customWidth="1"/>
    <col min="11534" max="11534" width="7.140625" bestFit="1" customWidth="1"/>
    <col min="11535" max="11535" width="6.42578125" bestFit="1" customWidth="1"/>
    <col min="11536" max="11536" width="5.85546875" bestFit="1" customWidth="1"/>
    <col min="11537" max="11537" width="6.28515625" bestFit="1" customWidth="1"/>
    <col min="11538" max="11538" width="6.140625" bestFit="1" customWidth="1"/>
    <col min="11777" max="11777" width="34.5703125" customWidth="1"/>
    <col min="11778" max="11778" width="6.5703125" bestFit="1" customWidth="1"/>
    <col min="11779" max="11779" width="7.5703125" bestFit="1" customWidth="1"/>
    <col min="11780" max="11780" width="10" bestFit="1" customWidth="1"/>
    <col min="11781" max="11781" width="11" customWidth="1"/>
    <col min="11782" max="11782" width="7" bestFit="1" customWidth="1"/>
    <col min="11783" max="11783" width="6.42578125" bestFit="1" customWidth="1"/>
    <col min="11784" max="11784" width="5.28515625" customWidth="1"/>
    <col min="11785" max="11785" width="5.5703125" bestFit="1" customWidth="1"/>
    <col min="11786" max="11788" width="5.28515625" bestFit="1" customWidth="1"/>
    <col min="11789" max="11789" width="5.42578125" bestFit="1" customWidth="1"/>
    <col min="11790" max="11790" width="7.140625" bestFit="1" customWidth="1"/>
    <col min="11791" max="11791" width="6.42578125" bestFit="1" customWidth="1"/>
    <col min="11792" max="11792" width="5.85546875" bestFit="1" customWidth="1"/>
    <col min="11793" max="11793" width="6.28515625" bestFit="1" customWidth="1"/>
    <col min="11794" max="11794" width="6.140625" bestFit="1" customWidth="1"/>
    <col min="12033" max="12033" width="34.5703125" customWidth="1"/>
    <col min="12034" max="12034" width="6.5703125" bestFit="1" customWidth="1"/>
    <col min="12035" max="12035" width="7.5703125" bestFit="1" customWidth="1"/>
    <col min="12036" max="12036" width="10" bestFit="1" customWidth="1"/>
    <col min="12037" max="12037" width="11" customWidth="1"/>
    <col min="12038" max="12038" width="7" bestFit="1" customWidth="1"/>
    <col min="12039" max="12039" width="6.42578125" bestFit="1" customWidth="1"/>
    <col min="12040" max="12040" width="5.28515625" customWidth="1"/>
    <col min="12041" max="12041" width="5.5703125" bestFit="1" customWidth="1"/>
    <col min="12042" max="12044" width="5.28515625" bestFit="1" customWidth="1"/>
    <col min="12045" max="12045" width="5.42578125" bestFit="1" customWidth="1"/>
    <col min="12046" max="12046" width="7.140625" bestFit="1" customWidth="1"/>
    <col min="12047" max="12047" width="6.42578125" bestFit="1" customWidth="1"/>
    <col min="12048" max="12048" width="5.85546875" bestFit="1" customWidth="1"/>
    <col min="12049" max="12049" width="6.28515625" bestFit="1" customWidth="1"/>
    <col min="12050" max="12050" width="6.140625" bestFit="1" customWidth="1"/>
    <col min="12289" max="12289" width="34.5703125" customWidth="1"/>
    <col min="12290" max="12290" width="6.5703125" bestFit="1" customWidth="1"/>
    <col min="12291" max="12291" width="7.5703125" bestFit="1" customWidth="1"/>
    <col min="12292" max="12292" width="10" bestFit="1" customWidth="1"/>
    <col min="12293" max="12293" width="11" customWidth="1"/>
    <col min="12294" max="12294" width="7" bestFit="1" customWidth="1"/>
    <col min="12295" max="12295" width="6.42578125" bestFit="1" customWidth="1"/>
    <col min="12296" max="12296" width="5.28515625" customWidth="1"/>
    <col min="12297" max="12297" width="5.5703125" bestFit="1" customWidth="1"/>
    <col min="12298" max="12300" width="5.28515625" bestFit="1" customWidth="1"/>
    <col min="12301" max="12301" width="5.42578125" bestFit="1" customWidth="1"/>
    <col min="12302" max="12302" width="7.140625" bestFit="1" customWidth="1"/>
    <col min="12303" max="12303" width="6.42578125" bestFit="1" customWidth="1"/>
    <col min="12304" max="12304" width="5.85546875" bestFit="1" customWidth="1"/>
    <col min="12305" max="12305" width="6.28515625" bestFit="1" customWidth="1"/>
    <col min="12306" max="12306" width="6.140625" bestFit="1" customWidth="1"/>
    <col min="12545" max="12545" width="34.5703125" customWidth="1"/>
    <col min="12546" max="12546" width="6.5703125" bestFit="1" customWidth="1"/>
    <col min="12547" max="12547" width="7.5703125" bestFit="1" customWidth="1"/>
    <col min="12548" max="12548" width="10" bestFit="1" customWidth="1"/>
    <col min="12549" max="12549" width="11" customWidth="1"/>
    <col min="12550" max="12550" width="7" bestFit="1" customWidth="1"/>
    <col min="12551" max="12551" width="6.42578125" bestFit="1" customWidth="1"/>
    <col min="12552" max="12552" width="5.28515625" customWidth="1"/>
    <col min="12553" max="12553" width="5.5703125" bestFit="1" customWidth="1"/>
    <col min="12554" max="12556" width="5.28515625" bestFit="1" customWidth="1"/>
    <col min="12557" max="12557" width="5.42578125" bestFit="1" customWidth="1"/>
    <col min="12558" max="12558" width="7.140625" bestFit="1" customWidth="1"/>
    <col min="12559" max="12559" width="6.42578125" bestFit="1" customWidth="1"/>
    <col min="12560" max="12560" width="5.85546875" bestFit="1" customWidth="1"/>
    <col min="12561" max="12561" width="6.28515625" bestFit="1" customWidth="1"/>
    <col min="12562" max="12562" width="6.140625" bestFit="1" customWidth="1"/>
    <col min="12801" max="12801" width="34.5703125" customWidth="1"/>
    <col min="12802" max="12802" width="6.5703125" bestFit="1" customWidth="1"/>
    <col min="12803" max="12803" width="7.5703125" bestFit="1" customWidth="1"/>
    <col min="12804" max="12804" width="10" bestFit="1" customWidth="1"/>
    <col min="12805" max="12805" width="11" customWidth="1"/>
    <col min="12806" max="12806" width="7" bestFit="1" customWidth="1"/>
    <col min="12807" max="12807" width="6.42578125" bestFit="1" customWidth="1"/>
    <col min="12808" max="12808" width="5.28515625" customWidth="1"/>
    <col min="12809" max="12809" width="5.5703125" bestFit="1" customWidth="1"/>
    <col min="12810" max="12812" width="5.28515625" bestFit="1" customWidth="1"/>
    <col min="12813" max="12813" width="5.42578125" bestFit="1" customWidth="1"/>
    <col min="12814" max="12814" width="7.140625" bestFit="1" customWidth="1"/>
    <col min="12815" max="12815" width="6.42578125" bestFit="1" customWidth="1"/>
    <col min="12816" max="12816" width="5.85546875" bestFit="1" customWidth="1"/>
    <col min="12817" max="12817" width="6.28515625" bestFit="1" customWidth="1"/>
    <col min="12818" max="12818" width="6.140625" bestFit="1" customWidth="1"/>
    <col min="13057" max="13057" width="34.5703125" customWidth="1"/>
    <col min="13058" max="13058" width="6.5703125" bestFit="1" customWidth="1"/>
    <col min="13059" max="13059" width="7.5703125" bestFit="1" customWidth="1"/>
    <col min="13060" max="13060" width="10" bestFit="1" customWidth="1"/>
    <col min="13061" max="13061" width="11" customWidth="1"/>
    <col min="13062" max="13062" width="7" bestFit="1" customWidth="1"/>
    <col min="13063" max="13063" width="6.42578125" bestFit="1" customWidth="1"/>
    <col min="13064" max="13064" width="5.28515625" customWidth="1"/>
    <col min="13065" max="13065" width="5.5703125" bestFit="1" customWidth="1"/>
    <col min="13066" max="13068" width="5.28515625" bestFit="1" customWidth="1"/>
    <col min="13069" max="13069" width="5.42578125" bestFit="1" customWidth="1"/>
    <col min="13070" max="13070" width="7.140625" bestFit="1" customWidth="1"/>
    <col min="13071" max="13071" width="6.42578125" bestFit="1" customWidth="1"/>
    <col min="13072" max="13072" width="5.85546875" bestFit="1" customWidth="1"/>
    <col min="13073" max="13073" width="6.28515625" bestFit="1" customWidth="1"/>
    <col min="13074" max="13074" width="6.140625" bestFit="1" customWidth="1"/>
    <col min="13313" max="13313" width="34.5703125" customWidth="1"/>
    <col min="13314" max="13314" width="6.5703125" bestFit="1" customWidth="1"/>
    <col min="13315" max="13315" width="7.5703125" bestFit="1" customWidth="1"/>
    <col min="13316" max="13316" width="10" bestFit="1" customWidth="1"/>
    <col min="13317" max="13317" width="11" customWidth="1"/>
    <col min="13318" max="13318" width="7" bestFit="1" customWidth="1"/>
    <col min="13319" max="13319" width="6.42578125" bestFit="1" customWidth="1"/>
    <col min="13320" max="13320" width="5.28515625" customWidth="1"/>
    <col min="13321" max="13321" width="5.5703125" bestFit="1" customWidth="1"/>
    <col min="13322" max="13324" width="5.28515625" bestFit="1" customWidth="1"/>
    <col min="13325" max="13325" width="5.42578125" bestFit="1" customWidth="1"/>
    <col min="13326" max="13326" width="7.140625" bestFit="1" customWidth="1"/>
    <col min="13327" max="13327" width="6.42578125" bestFit="1" customWidth="1"/>
    <col min="13328" max="13328" width="5.85546875" bestFit="1" customWidth="1"/>
    <col min="13329" max="13329" width="6.28515625" bestFit="1" customWidth="1"/>
    <col min="13330" max="13330" width="6.140625" bestFit="1" customWidth="1"/>
    <col min="13569" max="13569" width="34.5703125" customWidth="1"/>
    <col min="13570" max="13570" width="6.5703125" bestFit="1" customWidth="1"/>
    <col min="13571" max="13571" width="7.5703125" bestFit="1" customWidth="1"/>
    <col min="13572" max="13572" width="10" bestFit="1" customWidth="1"/>
    <col min="13573" max="13573" width="11" customWidth="1"/>
    <col min="13574" max="13574" width="7" bestFit="1" customWidth="1"/>
    <col min="13575" max="13575" width="6.42578125" bestFit="1" customWidth="1"/>
    <col min="13576" max="13576" width="5.28515625" customWidth="1"/>
    <col min="13577" max="13577" width="5.5703125" bestFit="1" customWidth="1"/>
    <col min="13578" max="13580" width="5.28515625" bestFit="1" customWidth="1"/>
    <col min="13581" max="13581" width="5.42578125" bestFit="1" customWidth="1"/>
    <col min="13582" max="13582" width="7.140625" bestFit="1" customWidth="1"/>
    <col min="13583" max="13583" width="6.42578125" bestFit="1" customWidth="1"/>
    <col min="13584" max="13584" width="5.85546875" bestFit="1" customWidth="1"/>
    <col min="13585" max="13585" width="6.28515625" bestFit="1" customWidth="1"/>
    <col min="13586" max="13586" width="6.140625" bestFit="1" customWidth="1"/>
    <col min="13825" max="13825" width="34.5703125" customWidth="1"/>
    <col min="13826" max="13826" width="6.5703125" bestFit="1" customWidth="1"/>
    <col min="13827" max="13827" width="7.5703125" bestFit="1" customWidth="1"/>
    <col min="13828" max="13828" width="10" bestFit="1" customWidth="1"/>
    <col min="13829" max="13829" width="11" customWidth="1"/>
    <col min="13830" max="13830" width="7" bestFit="1" customWidth="1"/>
    <col min="13831" max="13831" width="6.42578125" bestFit="1" customWidth="1"/>
    <col min="13832" max="13832" width="5.28515625" customWidth="1"/>
    <col min="13833" max="13833" width="5.5703125" bestFit="1" customWidth="1"/>
    <col min="13834" max="13836" width="5.28515625" bestFit="1" customWidth="1"/>
    <col min="13837" max="13837" width="5.42578125" bestFit="1" customWidth="1"/>
    <col min="13838" max="13838" width="7.140625" bestFit="1" customWidth="1"/>
    <col min="13839" max="13839" width="6.42578125" bestFit="1" customWidth="1"/>
    <col min="13840" max="13840" width="5.85546875" bestFit="1" customWidth="1"/>
    <col min="13841" max="13841" width="6.28515625" bestFit="1" customWidth="1"/>
    <col min="13842" max="13842" width="6.140625" bestFit="1" customWidth="1"/>
    <col min="14081" max="14081" width="34.5703125" customWidth="1"/>
    <col min="14082" max="14082" width="6.5703125" bestFit="1" customWidth="1"/>
    <col min="14083" max="14083" width="7.5703125" bestFit="1" customWidth="1"/>
    <col min="14084" max="14084" width="10" bestFit="1" customWidth="1"/>
    <col min="14085" max="14085" width="11" customWidth="1"/>
    <col min="14086" max="14086" width="7" bestFit="1" customWidth="1"/>
    <col min="14087" max="14087" width="6.42578125" bestFit="1" customWidth="1"/>
    <col min="14088" max="14088" width="5.28515625" customWidth="1"/>
    <col min="14089" max="14089" width="5.5703125" bestFit="1" customWidth="1"/>
    <col min="14090" max="14092" width="5.28515625" bestFit="1" customWidth="1"/>
    <col min="14093" max="14093" width="5.42578125" bestFit="1" customWidth="1"/>
    <col min="14094" max="14094" width="7.140625" bestFit="1" customWidth="1"/>
    <col min="14095" max="14095" width="6.42578125" bestFit="1" customWidth="1"/>
    <col min="14096" max="14096" width="5.85546875" bestFit="1" customWidth="1"/>
    <col min="14097" max="14097" width="6.28515625" bestFit="1" customWidth="1"/>
    <col min="14098" max="14098" width="6.140625" bestFit="1" customWidth="1"/>
    <col min="14337" max="14337" width="34.5703125" customWidth="1"/>
    <col min="14338" max="14338" width="6.5703125" bestFit="1" customWidth="1"/>
    <col min="14339" max="14339" width="7.5703125" bestFit="1" customWidth="1"/>
    <col min="14340" max="14340" width="10" bestFit="1" customWidth="1"/>
    <col min="14341" max="14341" width="11" customWidth="1"/>
    <col min="14342" max="14342" width="7" bestFit="1" customWidth="1"/>
    <col min="14343" max="14343" width="6.42578125" bestFit="1" customWidth="1"/>
    <col min="14344" max="14344" width="5.28515625" customWidth="1"/>
    <col min="14345" max="14345" width="5.5703125" bestFit="1" customWidth="1"/>
    <col min="14346" max="14348" width="5.28515625" bestFit="1" customWidth="1"/>
    <col min="14349" max="14349" width="5.42578125" bestFit="1" customWidth="1"/>
    <col min="14350" max="14350" width="7.140625" bestFit="1" customWidth="1"/>
    <col min="14351" max="14351" width="6.42578125" bestFit="1" customWidth="1"/>
    <col min="14352" max="14352" width="5.85546875" bestFit="1" customWidth="1"/>
    <col min="14353" max="14353" width="6.28515625" bestFit="1" customWidth="1"/>
    <col min="14354" max="14354" width="6.140625" bestFit="1" customWidth="1"/>
    <col min="14593" max="14593" width="34.5703125" customWidth="1"/>
    <col min="14594" max="14594" width="6.5703125" bestFit="1" customWidth="1"/>
    <col min="14595" max="14595" width="7.5703125" bestFit="1" customWidth="1"/>
    <col min="14596" max="14596" width="10" bestFit="1" customWidth="1"/>
    <col min="14597" max="14597" width="11" customWidth="1"/>
    <col min="14598" max="14598" width="7" bestFit="1" customWidth="1"/>
    <col min="14599" max="14599" width="6.42578125" bestFit="1" customWidth="1"/>
    <col min="14600" max="14600" width="5.28515625" customWidth="1"/>
    <col min="14601" max="14601" width="5.5703125" bestFit="1" customWidth="1"/>
    <col min="14602" max="14604" width="5.28515625" bestFit="1" customWidth="1"/>
    <col min="14605" max="14605" width="5.42578125" bestFit="1" customWidth="1"/>
    <col min="14606" max="14606" width="7.140625" bestFit="1" customWidth="1"/>
    <col min="14607" max="14607" width="6.42578125" bestFit="1" customWidth="1"/>
    <col min="14608" max="14608" width="5.85546875" bestFit="1" customWidth="1"/>
    <col min="14609" max="14609" width="6.28515625" bestFit="1" customWidth="1"/>
    <col min="14610" max="14610" width="6.140625" bestFit="1" customWidth="1"/>
    <col min="14849" max="14849" width="34.5703125" customWidth="1"/>
    <col min="14850" max="14850" width="6.5703125" bestFit="1" customWidth="1"/>
    <col min="14851" max="14851" width="7.5703125" bestFit="1" customWidth="1"/>
    <col min="14852" max="14852" width="10" bestFit="1" customWidth="1"/>
    <col min="14853" max="14853" width="11" customWidth="1"/>
    <col min="14854" max="14854" width="7" bestFit="1" customWidth="1"/>
    <col min="14855" max="14855" width="6.42578125" bestFit="1" customWidth="1"/>
    <col min="14856" max="14856" width="5.28515625" customWidth="1"/>
    <col min="14857" max="14857" width="5.5703125" bestFit="1" customWidth="1"/>
    <col min="14858" max="14860" width="5.28515625" bestFit="1" customWidth="1"/>
    <col min="14861" max="14861" width="5.42578125" bestFit="1" customWidth="1"/>
    <col min="14862" max="14862" width="7.140625" bestFit="1" customWidth="1"/>
    <col min="14863" max="14863" width="6.42578125" bestFit="1" customWidth="1"/>
    <col min="14864" max="14864" width="5.85546875" bestFit="1" customWidth="1"/>
    <col min="14865" max="14865" width="6.28515625" bestFit="1" customWidth="1"/>
    <col min="14866" max="14866" width="6.140625" bestFit="1" customWidth="1"/>
    <col min="15105" max="15105" width="34.5703125" customWidth="1"/>
    <col min="15106" max="15106" width="6.5703125" bestFit="1" customWidth="1"/>
    <col min="15107" max="15107" width="7.5703125" bestFit="1" customWidth="1"/>
    <col min="15108" max="15108" width="10" bestFit="1" customWidth="1"/>
    <col min="15109" max="15109" width="11" customWidth="1"/>
    <col min="15110" max="15110" width="7" bestFit="1" customWidth="1"/>
    <col min="15111" max="15111" width="6.42578125" bestFit="1" customWidth="1"/>
    <col min="15112" max="15112" width="5.28515625" customWidth="1"/>
    <col min="15113" max="15113" width="5.5703125" bestFit="1" customWidth="1"/>
    <col min="15114" max="15116" width="5.28515625" bestFit="1" customWidth="1"/>
    <col min="15117" max="15117" width="5.42578125" bestFit="1" customWidth="1"/>
    <col min="15118" max="15118" width="7.140625" bestFit="1" customWidth="1"/>
    <col min="15119" max="15119" width="6.42578125" bestFit="1" customWidth="1"/>
    <col min="15120" max="15120" width="5.85546875" bestFit="1" customWidth="1"/>
    <col min="15121" max="15121" width="6.28515625" bestFit="1" customWidth="1"/>
    <col min="15122" max="15122" width="6.140625" bestFit="1" customWidth="1"/>
    <col min="15361" max="15361" width="34.5703125" customWidth="1"/>
    <col min="15362" max="15362" width="6.5703125" bestFit="1" customWidth="1"/>
    <col min="15363" max="15363" width="7.5703125" bestFit="1" customWidth="1"/>
    <col min="15364" max="15364" width="10" bestFit="1" customWidth="1"/>
    <col min="15365" max="15365" width="11" customWidth="1"/>
    <col min="15366" max="15366" width="7" bestFit="1" customWidth="1"/>
    <col min="15367" max="15367" width="6.42578125" bestFit="1" customWidth="1"/>
    <col min="15368" max="15368" width="5.28515625" customWidth="1"/>
    <col min="15369" max="15369" width="5.5703125" bestFit="1" customWidth="1"/>
    <col min="15370" max="15372" width="5.28515625" bestFit="1" customWidth="1"/>
    <col min="15373" max="15373" width="5.42578125" bestFit="1" customWidth="1"/>
    <col min="15374" max="15374" width="7.140625" bestFit="1" customWidth="1"/>
    <col min="15375" max="15375" width="6.42578125" bestFit="1" customWidth="1"/>
    <col min="15376" max="15376" width="5.85546875" bestFit="1" customWidth="1"/>
    <col min="15377" max="15377" width="6.28515625" bestFit="1" customWidth="1"/>
    <col min="15378" max="15378" width="6.140625" bestFit="1" customWidth="1"/>
    <col min="15617" max="15617" width="34.5703125" customWidth="1"/>
    <col min="15618" max="15618" width="6.5703125" bestFit="1" customWidth="1"/>
    <col min="15619" max="15619" width="7.5703125" bestFit="1" customWidth="1"/>
    <col min="15620" max="15620" width="10" bestFit="1" customWidth="1"/>
    <col min="15621" max="15621" width="11" customWidth="1"/>
    <col min="15622" max="15622" width="7" bestFit="1" customWidth="1"/>
    <col min="15623" max="15623" width="6.42578125" bestFit="1" customWidth="1"/>
    <col min="15624" max="15624" width="5.28515625" customWidth="1"/>
    <col min="15625" max="15625" width="5.5703125" bestFit="1" customWidth="1"/>
    <col min="15626" max="15628" width="5.28515625" bestFit="1" customWidth="1"/>
    <col min="15629" max="15629" width="5.42578125" bestFit="1" customWidth="1"/>
    <col min="15630" max="15630" width="7.140625" bestFit="1" customWidth="1"/>
    <col min="15631" max="15631" width="6.42578125" bestFit="1" customWidth="1"/>
    <col min="15632" max="15632" width="5.85546875" bestFit="1" customWidth="1"/>
    <col min="15633" max="15633" width="6.28515625" bestFit="1" customWidth="1"/>
    <col min="15634" max="15634" width="6.140625" bestFit="1" customWidth="1"/>
    <col min="15873" max="15873" width="34.5703125" customWidth="1"/>
    <col min="15874" max="15874" width="6.5703125" bestFit="1" customWidth="1"/>
    <col min="15875" max="15875" width="7.5703125" bestFit="1" customWidth="1"/>
    <col min="15876" max="15876" width="10" bestFit="1" customWidth="1"/>
    <col min="15877" max="15877" width="11" customWidth="1"/>
    <col min="15878" max="15878" width="7" bestFit="1" customWidth="1"/>
    <col min="15879" max="15879" width="6.42578125" bestFit="1" customWidth="1"/>
    <col min="15880" max="15880" width="5.28515625" customWidth="1"/>
    <col min="15881" max="15881" width="5.5703125" bestFit="1" customWidth="1"/>
    <col min="15882" max="15884" width="5.28515625" bestFit="1" customWidth="1"/>
    <col min="15885" max="15885" width="5.42578125" bestFit="1" customWidth="1"/>
    <col min="15886" max="15886" width="7.140625" bestFit="1" customWidth="1"/>
    <col min="15887" max="15887" width="6.42578125" bestFit="1" customWidth="1"/>
    <col min="15888" max="15888" width="5.85546875" bestFit="1" customWidth="1"/>
    <col min="15889" max="15889" width="6.28515625" bestFit="1" customWidth="1"/>
    <col min="15890" max="15890" width="6.140625" bestFit="1" customWidth="1"/>
    <col min="16129" max="16129" width="34.5703125" customWidth="1"/>
    <col min="16130" max="16130" width="6.5703125" bestFit="1" customWidth="1"/>
    <col min="16131" max="16131" width="7.5703125" bestFit="1" customWidth="1"/>
    <col min="16132" max="16132" width="10" bestFit="1" customWidth="1"/>
    <col min="16133" max="16133" width="11" customWidth="1"/>
    <col min="16134" max="16134" width="7" bestFit="1" customWidth="1"/>
    <col min="16135" max="16135" width="6.42578125" bestFit="1" customWidth="1"/>
    <col min="16136" max="16136" width="5.28515625" customWidth="1"/>
    <col min="16137" max="16137" width="5.5703125" bestFit="1" customWidth="1"/>
    <col min="16138" max="16140" width="5.28515625" bestFit="1" customWidth="1"/>
    <col min="16141" max="16141" width="5.42578125" bestFit="1" customWidth="1"/>
    <col min="16142" max="16142" width="7.140625" bestFit="1" customWidth="1"/>
    <col min="16143" max="16143" width="6.42578125" bestFit="1" customWidth="1"/>
    <col min="16144" max="16144" width="5.85546875" bestFit="1" customWidth="1"/>
    <col min="16145" max="16145" width="6.28515625" bestFit="1" customWidth="1"/>
    <col min="16146" max="16146" width="6.140625" bestFit="1" customWidth="1"/>
  </cols>
  <sheetData>
    <row r="1" spans="1:18" s="146" customFormat="1" ht="12" thickBot="1">
      <c r="A1" s="144"/>
      <c r="B1" s="145"/>
      <c r="C1" s="145"/>
      <c r="D1" s="145"/>
      <c r="E1" s="145"/>
      <c r="F1" s="145"/>
      <c r="G1" s="145"/>
      <c r="H1" s="145"/>
      <c r="I1" s="145"/>
      <c r="J1" s="145"/>
      <c r="K1" s="145"/>
      <c r="L1" s="145"/>
      <c r="M1" s="145"/>
      <c r="N1" s="145"/>
      <c r="O1" s="145"/>
      <c r="P1" s="145"/>
      <c r="Q1" s="145"/>
      <c r="R1" s="145"/>
    </row>
    <row r="2" spans="1:18" s="151" customFormat="1" ht="11.25" customHeight="1">
      <c r="A2" s="147" t="s">
        <v>224</v>
      </c>
      <c r="B2" s="2307" t="s">
        <v>225</v>
      </c>
      <c r="C2" s="2307"/>
      <c r="D2" s="2307"/>
      <c r="E2" s="2308"/>
      <c r="F2" s="148" t="s">
        <v>226</v>
      </c>
      <c r="G2" s="149" t="s">
        <v>227</v>
      </c>
      <c r="H2" s="149" t="s">
        <v>228</v>
      </c>
      <c r="I2" s="149" t="s">
        <v>229</v>
      </c>
      <c r="J2" s="149" t="s">
        <v>230</v>
      </c>
      <c r="K2" s="149" t="s">
        <v>231</v>
      </c>
      <c r="L2" s="149" t="s">
        <v>232</v>
      </c>
      <c r="M2" s="149" t="s">
        <v>233</v>
      </c>
      <c r="N2" s="149" t="s">
        <v>234</v>
      </c>
      <c r="O2" s="149" t="s">
        <v>235</v>
      </c>
      <c r="P2" s="149" t="s">
        <v>236</v>
      </c>
      <c r="Q2" s="149" t="s">
        <v>237</v>
      </c>
      <c r="R2" s="150" t="s">
        <v>238</v>
      </c>
    </row>
    <row r="3" spans="1:18" s="159" customFormat="1" ht="45.75" thickBot="1">
      <c r="A3" s="152" t="s">
        <v>239</v>
      </c>
      <c r="B3" s="153" t="s">
        <v>240</v>
      </c>
      <c r="C3" s="153" t="s">
        <v>241</v>
      </c>
      <c r="D3" s="154" t="s">
        <v>242</v>
      </c>
      <c r="E3" s="155" t="s">
        <v>243</v>
      </c>
      <c r="F3" s="156">
        <v>31</v>
      </c>
      <c r="G3" s="157">
        <v>28</v>
      </c>
      <c r="H3" s="157">
        <v>31</v>
      </c>
      <c r="I3" s="157">
        <v>30</v>
      </c>
      <c r="J3" s="157">
        <v>31</v>
      </c>
      <c r="K3" s="157">
        <v>30</v>
      </c>
      <c r="L3" s="157">
        <v>31</v>
      </c>
      <c r="M3" s="157">
        <v>31</v>
      </c>
      <c r="N3" s="157">
        <v>30</v>
      </c>
      <c r="O3" s="157">
        <v>31</v>
      </c>
      <c r="P3" s="157">
        <v>30</v>
      </c>
      <c r="Q3" s="157">
        <v>31</v>
      </c>
      <c r="R3" s="158">
        <f>SUM(F3:Q3)</f>
        <v>365</v>
      </c>
    </row>
    <row r="4" spans="1:18" s="151" customFormat="1" ht="12" thickBot="1">
      <c r="A4" s="160" t="s">
        <v>244</v>
      </c>
      <c r="B4" s="161"/>
      <c r="C4" s="161"/>
      <c r="D4" s="161"/>
      <c r="E4" s="161"/>
      <c r="F4" s="161"/>
      <c r="G4" s="161"/>
      <c r="H4" s="161"/>
      <c r="I4" s="161"/>
      <c r="J4" s="161"/>
      <c r="K4" s="161"/>
      <c r="L4" s="161"/>
      <c r="M4" s="161"/>
      <c r="N4" s="161"/>
      <c r="O4" s="161"/>
      <c r="P4" s="161"/>
      <c r="Q4" s="161"/>
      <c r="R4" s="162"/>
    </row>
    <row r="5" spans="1:18" s="151" customFormat="1" ht="12" outlineLevel="1" thickBot="1">
      <c r="A5" s="163" t="s">
        <v>245</v>
      </c>
      <c r="B5" s="164"/>
      <c r="C5" s="164"/>
      <c r="D5" s="165"/>
      <c r="E5" s="166"/>
      <c r="F5" s="164"/>
      <c r="G5" s="164"/>
      <c r="H5" s="164"/>
      <c r="I5" s="164"/>
      <c r="J5" s="164"/>
      <c r="K5" s="164"/>
      <c r="L5" s="164"/>
      <c r="M5" s="164"/>
      <c r="N5" s="164"/>
      <c r="O5" s="164"/>
      <c r="P5" s="164"/>
      <c r="Q5" s="164"/>
      <c r="R5" s="167"/>
    </row>
    <row r="6" spans="1:18" s="175" customFormat="1" ht="11.25" outlineLevel="1">
      <c r="A6" s="168" t="s">
        <v>246</v>
      </c>
      <c r="B6" s="169" t="e">
        <f>'КРМД-22'!R6</f>
        <v>#REF!</v>
      </c>
      <c r="C6" s="169"/>
      <c r="D6" s="170" t="e">
        <f>B6*0.46</f>
        <v>#REF!</v>
      </c>
      <c r="E6" s="171" t="e">
        <f>+D6*270</f>
        <v>#REF!</v>
      </c>
      <c r="F6" s="172" t="e">
        <f>B6</f>
        <v>#REF!</v>
      </c>
      <c r="G6" s="173" t="e">
        <f t="shared" ref="G6:R6" si="0">(F6+F7+F8+F9-F11-F12-F13-F14-F15)</f>
        <v>#REF!</v>
      </c>
      <c r="H6" s="173" t="e">
        <f t="shared" si="0"/>
        <v>#REF!</v>
      </c>
      <c r="I6" s="173" t="e">
        <f t="shared" si="0"/>
        <v>#REF!</v>
      </c>
      <c r="J6" s="173" t="e">
        <f t="shared" si="0"/>
        <v>#REF!</v>
      </c>
      <c r="K6" s="173" t="e">
        <f t="shared" si="0"/>
        <v>#REF!</v>
      </c>
      <c r="L6" s="173" t="e">
        <f t="shared" si="0"/>
        <v>#REF!</v>
      </c>
      <c r="M6" s="173" t="e">
        <f t="shared" si="0"/>
        <v>#REF!</v>
      </c>
      <c r="N6" s="173" t="e">
        <f t="shared" si="0"/>
        <v>#REF!</v>
      </c>
      <c r="O6" s="173" t="e">
        <f t="shared" si="0"/>
        <v>#REF!</v>
      </c>
      <c r="P6" s="173" t="e">
        <f t="shared" si="0"/>
        <v>#REF!</v>
      </c>
      <c r="Q6" s="173" t="e">
        <f t="shared" si="0"/>
        <v>#REF!</v>
      </c>
      <c r="R6" s="174" t="e">
        <f t="shared" si="0"/>
        <v>#REF!</v>
      </c>
    </row>
    <row r="7" spans="1:18" s="175" customFormat="1" ht="11.25" outlineLevel="1">
      <c r="A7" s="176" t="s">
        <v>247</v>
      </c>
      <c r="B7" s="177"/>
      <c r="C7" s="178"/>
      <c r="D7" s="178"/>
      <c r="E7" s="179"/>
      <c r="F7" s="180"/>
      <c r="G7" s="181"/>
      <c r="H7" s="181"/>
      <c r="I7" s="181"/>
      <c r="J7" s="181"/>
      <c r="K7" s="181"/>
      <c r="L7" s="181"/>
      <c r="M7" s="181"/>
      <c r="N7" s="181"/>
      <c r="O7" s="181"/>
      <c r="P7" s="181"/>
      <c r="Q7" s="181"/>
      <c r="R7" s="182">
        <f t="shared" ref="R7:R16" si="1">SUM(F7:Q7)</f>
        <v>0</v>
      </c>
    </row>
    <row r="8" spans="1:18" s="175" customFormat="1" ht="11.25" outlineLevel="1">
      <c r="A8" s="176" t="s">
        <v>248</v>
      </c>
      <c r="B8" s="183"/>
      <c r="C8" s="184"/>
      <c r="D8" s="184"/>
      <c r="E8" s="185"/>
      <c r="F8" s="180"/>
      <c r="G8" s="181"/>
      <c r="H8" s="181"/>
      <c r="I8" s="181"/>
      <c r="J8" s="181"/>
      <c r="K8" s="181"/>
      <c r="L8" s="181"/>
      <c r="M8" s="181"/>
      <c r="N8" s="181"/>
      <c r="O8" s="181"/>
      <c r="P8" s="181"/>
      <c r="Q8" s="181"/>
      <c r="R8" s="182">
        <f t="shared" si="1"/>
        <v>0</v>
      </c>
    </row>
    <row r="9" spans="1:18" s="175" customFormat="1" ht="12" outlineLevel="1" thickBot="1">
      <c r="A9" s="186" t="s">
        <v>249</v>
      </c>
      <c r="B9" s="183"/>
      <c r="C9" s="184"/>
      <c r="D9" s="184"/>
      <c r="E9" s="185"/>
      <c r="F9" s="187"/>
      <c r="G9" s="188"/>
      <c r="H9" s="188"/>
      <c r="I9" s="188"/>
      <c r="J9" s="188"/>
      <c r="K9" s="188"/>
      <c r="L9" s="188"/>
      <c r="M9" s="188"/>
      <c r="N9" s="188"/>
      <c r="O9" s="188"/>
      <c r="P9" s="188"/>
      <c r="Q9" s="188"/>
      <c r="R9" s="189">
        <f t="shared" si="1"/>
        <v>0</v>
      </c>
    </row>
    <row r="10" spans="1:18" s="151" customFormat="1" ht="12" outlineLevel="1" thickBot="1">
      <c r="A10" s="190" t="s">
        <v>250</v>
      </c>
      <c r="B10" s="183"/>
      <c r="C10" s="184"/>
      <c r="D10" s="184"/>
      <c r="E10" s="185"/>
      <c r="F10" s="191"/>
      <c r="G10" s="164"/>
      <c r="H10" s="164"/>
      <c r="I10" s="164"/>
      <c r="J10" s="164"/>
      <c r="K10" s="164"/>
      <c r="L10" s="164"/>
      <c r="M10" s="164"/>
      <c r="N10" s="164"/>
      <c r="O10" s="164"/>
      <c r="P10" s="164"/>
      <c r="Q10" s="164"/>
      <c r="R10" s="192">
        <f t="shared" si="1"/>
        <v>0</v>
      </c>
    </row>
    <row r="11" spans="1:18" s="175" customFormat="1" ht="11.25" outlineLevel="1">
      <c r="A11" s="193" t="s">
        <v>251</v>
      </c>
      <c r="B11" s="183"/>
      <c r="C11" s="184"/>
      <c r="D11" s="184"/>
      <c r="E11" s="185"/>
      <c r="F11" s="194"/>
      <c r="G11" s="195"/>
      <c r="H11" s="195"/>
      <c r="I11" s="195"/>
      <c r="J11" s="195"/>
      <c r="K11" s="195"/>
      <c r="L11" s="195"/>
      <c r="M11" s="195"/>
      <c r="N11" s="195"/>
      <c r="O11" s="195"/>
      <c r="P11" s="195"/>
      <c r="Q11" s="195"/>
      <c r="R11" s="196">
        <f t="shared" si="1"/>
        <v>0</v>
      </c>
    </row>
    <row r="12" spans="1:18" s="175" customFormat="1" ht="11.25" outlineLevel="1">
      <c r="A12" s="197" t="s">
        <v>252</v>
      </c>
      <c r="B12" s="183"/>
      <c r="C12" s="184"/>
      <c r="D12" s="184"/>
      <c r="E12" s="185"/>
      <c r="F12" s="289"/>
      <c r="G12" s="290"/>
      <c r="H12" s="290"/>
      <c r="I12" s="290"/>
      <c r="J12" s="290"/>
      <c r="K12" s="290"/>
      <c r="L12" s="290"/>
      <c r="M12" s="290"/>
      <c r="N12" s="290"/>
      <c r="O12" s="290"/>
      <c r="P12" s="290"/>
      <c r="Q12" s="291"/>
      <c r="R12" s="199">
        <f t="shared" si="1"/>
        <v>0</v>
      </c>
    </row>
    <row r="13" spans="1:18" s="175" customFormat="1" ht="11.25" outlineLevel="1">
      <c r="A13" s="197" t="s">
        <v>253</v>
      </c>
      <c r="B13" s="183"/>
      <c r="C13" s="184"/>
      <c r="D13" s="184"/>
      <c r="E13" s="185"/>
      <c r="F13" s="292"/>
      <c r="G13" s="293"/>
      <c r="H13" s="293"/>
      <c r="I13" s="293"/>
      <c r="J13" s="293"/>
      <c r="K13" s="293"/>
      <c r="L13" s="293"/>
      <c r="M13" s="293"/>
      <c r="N13" s="293"/>
      <c r="O13" s="293"/>
      <c r="P13" s="293"/>
      <c r="Q13" s="294"/>
      <c r="R13" s="199">
        <f t="shared" si="1"/>
        <v>0</v>
      </c>
    </row>
    <row r="14" spans="1:18" s="175" customFormat="1" ht="11.25" outlineLevel="1">
      <c r="A14" s="197" t="s">
        <v>254</v>
      </c>
      <c r="B14" s="183"/>
      <c r="C14" s="184"/>
      <c r="D14" s="184"/>
      <c r="E14" s="185"/>
      <c r="F14" s="292"/>
      <c r="G14" s="293"/>
      <c r="H14" s="293"/>
      <c r="I14" s="293"/>
      <c r="J14" s="293"/>
      <c r="K14" s="293"/>
      <c r="L14" s="293"/>
      <c r="M14" s="293"/>
      <c r="N14" s="293"/>
      <c r="O14" s="293"/>
      <c r="P14" s="293"/>
      <c r="Q14" s="294"/>
      <c r="R14" s="199">
        <f t="shared" si="1"/>
        <v>0</v>
      </c>
    </row>
    <row r="15" spans="1:18" s="175" customFormat="1" ht="11.25" outlineLevel="1">
      <c r="A15" s="197" t="s">
        <v>255</v>
      </c>
      <c r="B15" s="183"/>
      <c r="C15" s="184"/>
      <c r="D15" s="184"/>
      <c r="E15" s="185"/>
      <c r="F15" s="180"/>
      <c r="G15" s="181"/>
      <c r="H15" s="181"/>
      <c r="I15" s="181"/>
      <c r="J15" s="181"/>
      <c r="K15" s="181"/>
      <c r="L15" s="181"/>
      <c r="M15" s="181"/>
      <c r="N15" s="181"/>
      <c r="O15" s="181"/>
      <c r="P15" s="181"/>
      <c r="Q15" s="181"/>
      <c r="R15" s="199">
        <f t="shared" si="1"/>
        <v>0</v>
      </c>
    </row>
    <row r="16" spans="1:18" s="175" customFormat="1" ht="11.25" outlineLevel="1">
      <c r="A16" s="200" t="s">
        <v>256</v>
      </c>
      <c r="B16" s="201"/>
      <c r="C16" s="202"/>
      <c r="D16" s="202"/>
      <c r="E16" s="203"/>
      <c r="F16" s="204" t="e">
        <f t="shared" ref="F16:Q16" si="2">(F6+G6)/2*F$3</f>
        <v>#REF!</v>
      </c>
      <c r="G16" s="204" t="e">
        <f t="shared" si="2"/>
        <v>#REF!</v>
      </c>
      <c r="H16" s="204" t="e">
        <f t="shared" si="2"/>
        <v>#REF!</v>
      </c>
      <c r="I16" s="204" t="e">
        <f t="shared" si="2"/>
        <v>#REF!</v>
      </c>
      <c r="J16" s="204" t="e">
        <f t="shared" si="2"/>
        <v>#REF!</v>
      </c>
      <c r="K16" s="204" t="e">
        <f t="shared" si="2"/>
        <v>#REF!</v>
      </c>
      <c r="L16" s="204" t="e">
        <f t="shared" si="2"/>
        <v>#REF!</v>
      </c>
      <c r="M16" s="204" t="e">
        <f t="shared" si="2"/>
        <v>#REF!</v>
      </c>
      <c r="N16" s="204" t="e">
        <f t="shared" si="2"/>
        <v>#REF!</v>
      </c>
      <c r="O16" s="204" t="e">
        <f t="shared" si="2"/>
        <v>#REF!</v>
      </c>
      <c r="P16" s="204" t="e">
        <f t="shared" si="2"/>
        <v>#REF!</v>
      </c>
      <c r="Q16" s="204" t="e">
        <f t="shared" si="2"/>
        <v>#REF!</v>
      </c>
      <c r="R16" s="205" t="e">
        <f t="shared" si="1"/>
        <v>#REF!</v>
      </c>
    </row>
    <row r="17" spans="1:18" s="175" customFormat="1" ht="12" outlineLevel="1" thickBot="1">
      <c r="A17" s="206" t="s">
        <v>257</v>
      </c>
      <c r="B17" s="207"/>
      <c r="C17" s="207"/>
      <c r="D17" s="208"/>
      <c r="E17" s="207"/>
      <c r="F17" s="209" t="e">
        <f t="shared" ref="F17:R17" si="3">F16/F$3</f>
        <v>#REF!</v>
      </c>
      <c r="G17" s="210" t="e">
        <f t="shared" si="3"/>
        <v>#REF!</v>
      </c>
      <c r="H17" s="210" t="e">
        <f t="shared" si="3"/>
        <v>#REF!</v>
      </c>
      <c r="I17" s="210" t="e">
        <f t="shared" si="3"/>
        <v>#REF!</v>
      </c>
      <c r="J17" s="210" t="e">
        <f t="shared" si="3"/>
        <v>#REF!</v>
      </c>
      <c r="K17" s="210" t="e">
        <f t="shared" si="3"/>
        <v>#REF!</v>
      </c>
      <c r="L17" s="210" t="e">
        <f t="shared" si="3"/>
        <v>#REF!</v>
      </c>
      <c r="M17" s="210" t="e">
        <f t="shared" si="3"/>
        <v>#REF!</v>
      </c>
      <c r="N17" s="210" t="e">
        <f t="shared" si="3"/>
        <v>#REF!</v>
      </c>
      <c r="O17" s="210" t="e">
        <f t="shared" si="3"/>
        <v>#REF!</v>
      </c>
      <c r="P17" s="210" t="e">
        <f t="shared" si="3"/>
        <v>#REF!</v>
      </c>
      <c r="Q17" s="210" t="e">
        <f t="shared" si="3"/>
        <v>#REF!</v>
      </c>
      <c r="R17" s="211" t="e">
        <f t="shared" si="3"/>
        <v>#REF!</v>
      </c>
    </row>
    <row r="18" spans="1:18" s="151" customFormat="1" ht="12" thickBot="1">
      <c r="A18" s="160" t="s">
        <v>258</v>
      </c>
      <c r="B18" s="161"/>
      <c r="C18" s="161"/>
      <c r="D18" s="161"/>
      <c r="E18" s="161"/>
      <c r="F18" s="161"/>
      <c r="G18" s="161"/>
      <c r="H18" s="161"/>
      <c r="I18" s="161"/>
      <c r="J18" s="161"/>
      <c r="K18" s="161"/>
      <c r="L18" s="161"/>
      <c r="M18" s="161"/>
      <c r="N18" s="161"/>
      <c r="O18" s="161"/>
      <c r="P18" s="161"/>
      <c r="Q18" s="161"/>
      <c r="R18" s="162"/>
    </row>
    <row r="19" spans="1:18" s="151" customFormat="1" ht="12" outlineLevel="1" thickBot="1">
      <c r="A19" s="163" t="s">
        <v>245</v>
      </c>
      <c r="B19" s="164"/>
      <c r="C19" s="164"/>
      <c r="D19" s="165"/>
      <c r="E19" s="166"/>
      <c r="F19" s="164"/>
      <c r="G19" s="164"/>
      <c r="H19" s="164"/>
      <c r="I19" s="164"/>
      <c r="J19" s="164"/>
      <c r="K19" s="164"/>
      <c r="L19" s="164"/>
      <c r="M19" s="164"/>
      <c r="N19" s="164"/>
      <c r="O19" s="164"/>
      <c r="P19" s="164"/>
      <c r="Q19" s="164"/>
      <c r="R19" s="167"/>
    </row>
    <row r="20" spans="1:18" s="175" customFormat="1" ht="11.25" outlineLevel="1">
      <c r="A20" s="168" t="s">
        <v>259</v>
      </c>
      <c r="B20" s="212" t="e">
        <f>'КРМД-22'!R20</f>
        <v>#REF!</v>
      </c>
      <c r="C20" s="212"/>
      <c r="D20" s="213" t="e">
        <f>B20*0.4</f>
        <v>#REF!</v>
      </c>
      <c r="E20" s="171" t="e">
        <f>B20*90</f>
        <v>#REF!</v>
      </c>
      <c r="F20" s="172" t="e">
        <f>B20</f>
        <v>#REF!</v>
      </c>
      <c r="G20" s="173" t="e">
        <f t="shared" ref="G20:R20" si="4">(F20+F21+F22+F23-F25-F26-F27-F28-F29)</f>
        <v>#REF!</v>
      </c>
      <c r="H20" s="173" t="e">
        <f t="shared" si="4"/>
        <v>#REF!</v>
      </c>
      <c r="I20" s="173" t="e">
        <f t="shared" si="4"/>
        <v>#REF!</v>
      </c>
      <c r="J20" s="173" t="e">
        <f t="shared" si="4"/>
        <v>#REF!</v>
      </c>
      <c r="K20" s="173" t="e">
        <f t="shared" si="4"/>
        <v>#REF!</v>
      </c>
      <c r="L20" s="173" t="e">
        <f t="shared" si="4"/>
        <v>#REF!</v>
      </c>
      <c r="M20" s="173" t="e">
        <f t="shared" si="4"/>
        <v>#REF!</v>
      </c>
      <c r="N20" s="173" t="e">
        <f t="shared" si="4"/>
        <v>#REF!</v>
      </c>
      <c r="O20" s="173" t="e">
        <f t="shared" si="4"/>
        <v>#REF!</v>
      </c>
      <c r="P20" s="173" t="e">
        <f t="shared" si="4"/>
        <v>#REF!</v>
      </c>
      <c r="Q20" s="173" t="e">
        <f t="shared" si="4"/>
        <v>#REF!</v>
      </c>
      <c r="R20" s="174" t="e">
        <f t="shared" si="4"/>
        <v>#REF!</v>
      </c>
    </row>
    <row r="21" spans="1:18" s="175" customFormat="1" ht="11.25" outlineLevel="1">
      <c r="A21" s="214" t="s">
        <v>247</v>
      </c>
      <c r="B21" s="177"/>
      <c r="C21" s="178"/>
      <c r="D21" s="178"/>
      <c r="E21" s="179"/>
      <c r="F21" s="180">
        <f>F123</f>
        <v>0</v>
      </c>
      <c r="G21" s="180">
        <f t="shared" ref="G21:Q21" si="5">G123</f>
        <v>0</v>
      </c>
      <c r="H21" s="180">
        <f t="shared" si="5"/>
        <v>0</v>
      </c>
      <c r="I21" s="180">
        <f t="shared" si="5"/>
        <v>0</v>
      </c>
      <c r="J21" s="180">
        <f t="shared" si="5"/>
        <v>0</v>
      </c>
      <c r="K21" s="180">
        <f t="shared" si="5"/>
        <v>0</v>
      </c>
      <c r="L21" s="180">
        <f t="shared" si="5"/>
        <v>0</v>
      </c>
      <c r="M21" s="180">
        <f t="shared" si="5"/>
        <v>0</v>
      </c>
      <c r="N21" s="180">
        <f t="shared" si="5"/>
        <v>0</v>
      </c>
      <c r="O21" s="180">
        <f t="shared" si="5"/>
        <v>0</v>
      </c>
      <c r="P21" s="180">
        <f t="shared" si="5"/>
        <v>0</v>
      </c>
      <c r="Q21" s="180">
        <f t="shared" si="5"/>
        <v>0</v>
      </c>
      <c r="R21" s="182">
        <f t="shared" ref="R21:R30" si="6">SUM(F21:Q21)</f>
        <v>0</v>
      </c>
    </row>
    <row r="22" spans="1:18" s="175" customFormat="1" ht="11.25" outlineLevel="1">
      <c r="A22" s="214" t="s">
        <v>248</v>
      </c>
      <c r="B22" s="183"/>
      <c r="C22" s="184"/>
      <c r="D22" s="184"/>
      <c r="E22" s="185"/>
      <c r="F22" s="180"/>
      <c r="G22" s="181"/>
      <c r="H22" s="181"/>
      <c r="I22" s="181"/>
      <c r="J22" s="181"/>
      <c r="K22" s="181"/>
      <c r="L22" s="181"/>
      <c r="M22" s="181"/>
      <c r="N22" s="181"/>
      <c r="O22" s="181"/>
      <c r="P22" s="181"/>
      <c r="Q22" s="181"/>
      <c r="R22" s="182">
        <f t="shared" si="6"/>
        <v>0</v>
      </c>
    </row>
    <row r="23" spans="1:18" s="175" customFormat="1" ht="12" outlineLevel="1" thickBot="1">
      <c r="A23" s="215" t="s">
        <v>249</v>
      </c>
      <c r="B23" s="183"/>
      <c r="C23" s="184"/>
      <c r="D23" s="184"/>
      <c r="E23" s="185"/>
      <c r="F23" s="187"/>
      <c r="G23" s="188"/>
      <c r="H23" s="188"/>
      <c r="I23" s="188"/>
      <c r="J23" s="188"/>
      <c r="K23" s="188"/>
      <c r="L23" s="188"/>
      <c r="M23" s="188"/>
      <c r="N23" s="188"/>
      <c r="O23" s="188"/>
      <c r="P23" s="188"/>
      <c r="Q23" s="188"/>
      <c r="R23" s="189">
        <f t="shared" si="6"/>
        <v>0</v>
      </c>
    </row>
    <row r="24" spans="1:18" s="151" customFormat="1" ht="12" outlineLevel="1" thickBot="1">
      <c r="A24" s="216" t="s">
        <v>250</v>
      </c>
      <c r="B24" s="183"/>
      <c r="C24" s="184"/>
      <c r="D24" s="184"/>
      <c r="E24" s="185"/>
      <c r="F24" s="191"/>
      <c r="G24" s="164"/>
      <c r="H24" s="164"/>
      <c r="I24" s="164"/>
      <c r="J24" s="164"/>
      <c r="K24" s="164"/>
      <c r="L24" s="164"/>
      <c r="M24" s="164"/>
      <c r="N24" s="164"/>
      <c r="O24" s="164"/>
      <c r="P24" s="164"/>
      <c r="Q24" s="164"/>
      <c r="R24" s="192">
        <f t="shared" si="6"/>
        <v>0</v>
      </c>
    </row>
    <row r="25" spans="1:18" s="175" customFormat="1" ht="11.25" outlineLevel="1">
      <c r="A25" s="217" t="s">
        <v>251</v>
      </c>
      <c r="B25" s="183"/>
      <c r="C25" s="184"/>
      <c r="D25" s="184"/>
      <c r="E25" s="185"/>
      <c r="F25" s="194"/>
      <c r="G25" s="195"/>
      <c r="H25" s="195"/>
      <c r="I25" s="195"/>
      <c r="J25" s="195"/>
      <c r="K25" s="195"/>
      <c r="L25" s="195"/>
      <c r="M25" s="195"/>
      <c r="N25" s="195"/>
      <c r="O25" s="195"/>
      <c r="P25" s="195"/>
      <c r="Q25" s="195"/>
      <c r="R25" s="196">
        <f t="shared" si="6"/>
        <v>0</v>
      </c>
    </row>
    <row r="26" spans="1:18" s="175" customFormat="1" ht="22.5" customHeight="1" outlineLevel="1">
      <c r="A26" s="218" t="s">
        <v>252</v>
      </c>
      <c r="B26" s="183"/>
      <c r="C26" s="184"/>
      <c r="D26" s="184"/>
      <c r="E26" s="184"/>
      <c r="F26" s="198"/>
      <c r="G26" s="198"/>
      <c r="H26" s="198"/>
      <c r="I26" s="198"/>
      <c r="J26" s="198"/>
      <c r="K26" s="198"/>
      <c r="L26" s="198"/>
      <c r="M26" s="198"/>
      <c r="N26" s="198"/>
      <c r="O26" s="198"/>
      <c r="P26" s="198"/>
      <c r="Q26" s="198"/>
      <c r="R26" s="199">
        <f t="shared" si="6"/>
        <v>0</v>
      </c>
    </row>
    <row r="27" spans="1:18" s="175" customFormat="1" ht="11.25" outlineLevel="1">
      <c r="A27" s="218" t="s">
        <v>253</v>
      </c>
      <c r="B27" s="183"/>
      <c r="C27" s="184"/>
      <c r="D27" s="184"/>
      <c r="E27" s="184"/>
      <c r="F27" s="198"/>
      <c r="G27" s="198"/>
      <c r="H27" s="198"/>
      <c r="I27" s="198"/>
      <c r="J27" s="198"/>
      <c r="K27" s="198"/>
      <c r="L27" s="198"/>
      <c r="M27" s="198"/>
      <c r="N27" s="198"/>
      <c r="O27" s="198"/>
      <c r="P27" s="198"/>
      <c r="Q27" s="198"/>
      <c r="R27" s="199">
        <f t="shared" si="6"/>
        <v>0</v>
      </c>
    </row>
    <row r="28" spans="1:18" s="175" customFormat="1" ht="11.25" outlineLevel="1">
      <c r="A28" s="218" t="s">
        <v>254</v>
      </c>
      <c r="B28" s="183"/>
      <c r="C28" s="184"/>
      <c r="D28" s="184"/>
      <c r="E28" s="184"/>
      <c r="F28" s="198"/>
      <c r="G28" s="198"/>
      <c r="H28" s="198"/>
      <c r="I28" s="198"/>
      <c r="J28" s="198"/>
      <c r="K28" s="198"/>
      <c r="L28" s="198"/>
      <c r="M28" s="198"/>
      <c r="N28" s="198"/>
      <c r="O28" s="198"/>
      <c r="P28" s="198"/>
      <c r="Q28" s="198"/>
      <c r="R28" s="199">
        <f t="shared" si="6"/>
        <v>0</v>
      </c>
    </row>
    <row r="29" spans="1:18" s="175" customFormat="1" ht="11.25" outlineLevel="1">
      <c r="A29" s="218" t="s">
        <v>255</v>
      </c>
      <c r="B29" s="183"/>
      <c r="C29" s="184"/>
      <c r="D29" s="184"/>
      <c r="E29" s="185"/>
      <c r="F29" s="219"/>
      <c r="G29" s="220"/>
      <c r="H29" s="220"/>
      <c r="I29" s="220"/>
      <c r="J29" s="220"/>
      <c r="K29" s="220"/>
      <c r="L29" s="220"/>
      <c r="M29" s="220"/>
      <c r="N29" s="220"/>
      <c r="O29" s="220"/>
      <c r="P29" s="220"/>
      <c r="Q29" s="220"/>
      <c r="R29" s="182">
        <f t="shared" si="6"/>
        <v>0</v>
      </c>
    </row>
    <row r="30" spans="1:18" outlineLevel="1">
      <c r="A30" s="221" t="s">
        <v>256</v>
      </c>
      <c r="B30" s="201"/>
      <c r="C30" s="202"/>
      <c r="D30" s="202"/>
      <c r="E30" s="203"/>
      <c r="F30" s="204" t="e">
        <f t="shared" ref="F30:Q30" si="7">(F20+G20)/2*F$3</f>
        <v>#REF!</v>
      </c>
      <c r="G30" s="204" t="e">
        <f t="shared" si="7"/>
        <v>#REF!</v>
      </c>
      <c r="H30" s="204" t="e">
        <f t="shared" si="7"/>
        <v>#REF!</v>
      </c>
      <c r="I30" s="204" t="e">
        <f t="shared" si="7"/>
        <v>#REF!</v>
      </c>
      <c r="J30" s="204" t="e">
        <f t="shared" si="7"/>
        <v>#REF!</v>
      </c>
      <c r="K30" s="204" t="e">
        <f t="shared" si="7"/>
        <v>#REF!</v>
      </c>
      <c r="L30" s="204" t="e">
        <f t="shared" si="7"/>
        <v>#REF!</v>
      </c>
      <c r="M30" s="204" t="e">
        <f t="shared" si="7"/>
        <v>#REF!</v>
      </c>
      <c r="N30" s="204" t="e">
        <f t="shared" si="7"/>
        <v>#REF!</v>
      </c>
      <c r="O30" s="204" t="e">
        <f t="shared" si="7"/>
        <v>#REF!</v>
      </c>
      <c r="P30" s="204" t="e">
        <f t="shared" si="7"/>
        <v>#REF!</v>
      </c>
      <c r="Q30" s="204" t="e">
        <f t="shared" si="7"/>
        <v>#REF!</v>
      </c>
      <c r="R30" s="205" t="e">
        <f t="shared" si="6"/>
        <v>#REF!</v>
      </c>
    </row>
    <row r="31" spans="1:18" s="175" customFormat="1" ht="12" outlineLevel="1" thickBot="1">
      <c r="A31" s="206" t="s">
        <v>257</v>
      </c>
      <c r="B31" s="223"/>
      <c r="C31" s="223"/>
      <c r="D31" s="224"/>
      <c r="E31" s="223"/>
      <c r="F31" s="209" t="e">
        <f t="shared" ref="F31:R31" si="8">F30/F$3</f>
        <v>#REF!</v>
      </c>
      <c r="G31" s="210" t="e">
        <f t="shared" si="8"/>
        <v>#REF!</v>
      </c>
      <c r="H31" s="210" t="e">
        <f t="shared" si="8"/>
        <v>#REF!</v>
      </c>
      <c r="I31" s="210" t="e">
        <f t="shared" si="8"/>
        <v>#REF!</v>
      </c>
      <c r="J31" s="210" t="e">
        <f t="shared" si="8"/>
        <v>#REF!</v>
      </c>
      <c r="K31" s="210" t="e">
        <f t="shared" si="8"/>
        <v>#REF!</v>
      </c>
      <c r="L31" s="210" t="e">
        <f t="shared" si="8"/>
        <v>#REF!</v>
      </c>
      <c r="M31" s="210" t="e">
        <f t="shared" si="8"/>
        <v>#REF!</v>
      </c>
      <c r="N31" s="210" t="e">
        <f t="shared" si="8"/>
        <v>#REF!</v>
      </c>
      <c r="O31" s="210" t="e">
        <f t="shared" si="8"/>
        <v>#REF!</v>
      </c>
      <c r="P31" s="210" t="e">
        <f t="shared" si="8"/>
        <v>#REF!</v>
      </c>
      <c r="Q31" s="210" t="e">
        <f t="shared" si="8"/>
        <v>#REF!</v>
      </c>
      <c r="R31" s="211" t="e">
        <f t="shared" si="8"/>
        <v>#REF!</v>
      </c>
    </row>
    <row r="32" spans="1:18" s="151" customFormat="1" ht="12" thickBot="1">
      <c r="A32" s="160" t="s">
        <v>260</v>
      </c>
      <c r="B32" s="161"/>
      <c r="C32" s="161"/>
      <c r="D32" s="161"/>
      <c r="E32" s="161"/>
      <c r="F32" s="161"/>
      <c r="G32" s="161"/>
      <c r="H32" s="161"/>
      <c r="I32" s="161"/>
      <c r="J32" s="161"/>
      <c r="K32" s="161"/>
      <c r="L32" s="161"/>
      <c r="M32" s="161"/>
      <c r="N32" s="161"/>
      <c r="O32" s="161"/>
      <c r="P32" s="161"/>
      <c r="Q32" s="161"/>
      <c r="R32" s="162"/>
    </row>
    <row r="33" spans="1:18" s="151" customFormat="1" ht="12" outlineLevel="1" thickBot="1">
      <c r="A33" s="163" t="s">
        <v>245</v>
      </c>
      <c r="B33" s="164"/>
      <c r="C33" s="164"/>
      <c r="D33" s="165"/>
      <c r="E33" s="166"/>
      <c r="F33" s="164"/>
      <c r="G33" s="164"/>
      <c r="H33" s="164"/>
      <c r="I33" s="164"/>
      <c r="J33" s="164"/>
      <c r="K33" s="164"/>
      <c r="L33" s="164"/>
      <c r="M33" s="164"/>
      <c r="N33" s="164"/>
      <c r="O33" s="164"/>
      <c r="P33" s="164"/>
      <c r="Q33" s="164"/>
      <c r="R33" s="167"/>
    </row>
    <row r="34" spans="1:18" s="175" customFormat="1" ht="11.25" outlineLevel="1">
      <c r="A34" s="168" t="s">
        <v>246</v>
      </c>
      <c r="B34" s="169" t="e">
        <f>+'КРМД-22'!R34</f>
        <v>#REF!</v>
      </c>
      <c r="C34" s="169"/>
      <c r="D34" s="213" t="e">
        <f>B34*0.33</f>
        <v>#REF!</v>
      </c>
      <c r="E34" s="171" t="e">
        <f>+D34*270</f>
        <v>#REF!</v>
      </c>
      <c r="F34" s="172" t="e">
        <f>B34</f>
        <v>#REF!</v>
      </c>
      <c r="G34" s="173" t="e">
        <f t="shared" ref="G34:R34" si="9">(F34+F35+F36+F37-F39-F40-F41-F42-F43)</f>
        <v>#REF!</v>
      </c>
      <c r="H34" s="173" t="e">
        <f t="shared" si="9"/>
        <v>#REF!</v>
      </c>
      <c r="I34" s="173" t="e">
        <f t="shared" si="9"/>
        <v>#REF!</v>
      </c>
      <c r="J34" s="173" t="e">
        <f t="shared" si="9"/>
        <v>#REF!</v>
      </c>
      <c r="K34" s="173" t="e">
        <f t="shared" si="9"/>
        <v>#REF!</v>
      </c>
      <c r="L34" s="173" t="e">
        <f t="shared" si="9"/>
        <v>#REF!</v>
      </c>
      <c r="M34" s="173" t="e">
        <f t="shared" si="9"/>
        <v>#REF!</v>
      </c>
      <c r="N34" s="173" t="e">
        <f t="shared" si="9"/>
        <v>#REF!</v>
      </c>
      <c r="O34" s="173" t="e">
        <f t="shared" si="9"/>
        <v>#REF!</v>
      </c>
      <c r="P34" s="173" t="e">
        <f t="shared" si="9"/>
        <v>#REF!</v>
      </c>
      <c r="Q34" s="173" t="e">
        <f t="shared" si="9"/>
        <v>#REF!</v>
      </c>
      <c r="R34" s="174" t="e">
        <f t="shared" si="9"/>
        <v>#REF!</v>
      </c>
    </row>
    <row r="35" spans="1:18" s="175" customFormat="1" ht="11.25" outlineLevel="1">
      <c r="A35" s="176" t="s">
        <v>247</v>
      </c>
      <c r="B35" s="177"/>
      <c r="C35" s="178"/>
      <c r="D35" s="178"/>
      <c r="E35" s="179"/>
      <c r="F35" s="180">
        <f>F67</f>
        <v>0</v>
      </c>
      <c r="G35" s="180">
        <f t="shared" ref="G35:Q35" si="10">G67</f>
        <v>0</v>
      </c>
      <c r="H35" s="180" t="e">
        <f t="shared" si="10"/>
        <v>#REF!</v>
      </c>
      <c r="I35" s="180">
        <f t="shared" si="10"/>
        <v>0</v>
      </c>
      <c r="J35" s="180">
        <f>J67</f>
        <v>0</v>
      </c>
      <c r="K35" s="180">
        <f t="shared" si="10"/>
        <v>0</v>
      </c>
      <c r="L35" s="180">
        <f t="shared" si="10"/>
        <v>0</v>
      </c>
      <c r="M35" s="180">
        <f t="shared" si="10"/>
        <v>0</v>
      </c>
      <c r="N35" s="180">
        <f t="shared" si="10"/>
        <v>0</v>
      </c>
      <c r="O35" s="180">
        <f t="shared" si="10"/>
        <v>0</v>
      </c>
      <c r="P35" s="180">
        <f t="shared" si="10"/>
        <v>0</v>
      </c>
      <c r="Q35" s="180">
        <f t="shared" si="10"/>
        <v>0</v>
      </c>
      <c r="R35" s="182" t="e">
        <f>SUM(F35:Q35)</f>
        <v>#REF!</v>
      </c>
    </row>
    <row r="36" spans="1:18" s="175" customFormat="1" ht="11.25" outlineLevel="1">
      <c r="A36" s="176" t="s">
        <v>248</v>
      </c>
      <c r="B36" s="183"/>
      <c r="C36" s="184"/>
      <c r="D36" s="184"/>
      <c r="E36" s="185"/>
      <c r="F36" s="180"/>
      <c r="G36" s="181"/>
      <c r="H36" s="181"/>
      <c r="I36" s="181"/>
      <c r="J36" s="181"/>
      <c r="K36" s="181"/>
      <c r="L36" s="181"/>
      <c r="M36" s="181"/>
      <c r="N36" s="181"/>
      <c r="O36" s="181"/>
      <c r="P36" s="181"/>
      <c r="Q36" s="181"/>
      <c r="R36" s="182">
        <f>SUM(F36:Q36)</f>
        <v>0</v>
      </c>
    </row>
    <row r="37" spans="1:18" s="175" customFormat="1" ht="12" outlineLevel="1" thickBot="1">
      <c r="A37" s="186" t="s">
        <v>249</v>
      </c>
      <c r="B37" s="183"/>
      <c r="C37" s="184"/>
      <c r="D37" s="184"/>
      <c r="E37" s="185"/>
      <c r="F37" s="187"/>
      <c r="G37" s="188"/>
      <c r="H37" s="188"/>
      <c r="I37" s="188"/>
      <c r="J37" s="188"/>
      <c r="K37" s="188"/>
      <c r="L37" s="188"/>
      <c r="M37" s="188"/>
      <c r="N37" s="188"/>
      <c r="O37" s="188"/>
      <c r="P37" s="188"/>
      <c r="Q37" s="188"/>
      <c r="R37" s="189">
        <f>SUM(F37:Q37)</f>
        <v>0</v>
      </c>
    </row>
    <row r="38" spans="1:18" s="151" customFormat="1" ht="12" outlineLevel="1" thickBot="1">
      <c r="A38" s="190" t="s">
        <v>250</v>
      </c>
      <c r="B38" s="183"/>
      <c r="C38" s="184"/>
      <c r="D38" s="184"/>
      <c r="E38" s="185"/>
      <c r="F38" s="191"/>
      <c r="G38" s="164"/>
      <c r="H38" s="164"/>
      <c r="I38" s="164"/>
      <c r="J38" s="164"/>
      <c r="K38" s="164"/>
      <c r="L38" s="164"/>
      <c r="M38" s="164"/>
      <c r="N38" s="164"/>
      <c r="O38" s="164"/>
      <c r="P38" s="164"/>
      <c r="Q38" s="164"/>
      <c r="R38" s="192"/>
    </row>
    <row r="39" spans="1:18" s="175" customFormat="1" ht="11.25" outlineLevel="1">
      <c r="A39" s="193" t="s">
        <v>251</v>
      </c>
      <c r="B39" s="183"/>
      <c r="C39" s="184"/>
      <c r="D39" s="184"/>
      <c r="E39" s="185"/>
      <c r="F39" s="194"/>
      <c r="G39" s="195"/>
      <c r="H39" s="195"/>
      <c r="I39" s="195"/>
      <c r="J39" s="195"/>
      <c r="K39" s="195"/>
      <c r="L39" s="195"/>
      <c r="M39" s="195"/>
      <c r="N39" s="195"/>
      <c r="O39" s="195"/>
      <c r="P39" s="195"/>
      <c r="Q39" s="195"/>
      <c r="R39" s="196">
        <f t="shared" ref="R39:R44" si="11">SUM(F39:Q39)</f>
        <v>0</v>
      </c>
    </row>
    <row r="40" spans="1:18" s="175" customFormat="1" ht="22.5" customHeight="1" outlineLevel="1">
      <c r="A40" s="197" t="s">
        <v>252</v>
      </c>
      <c r="B40" s="183"/>
      <c r="C40" s="184"/>
      <c r="D40" s="184"/>
      <c r="E40" s="184"/>
      <c r="F40" s="198"/>
      <c r="G40" s="198"/>
      <c r="H40" s="198"/>
      <c r="I40" s="198"/>
      <c r="J40" s="198"/>
      <c r="K40" s="198"/>
      <c r="L40" s="198"/>
      <c r="M40" s="198"/>
      <c r="N40" s="198"/>
      <c r="O40" s="198"/>
      <c r="P40" s="198"/>
      <c r="Q40" s="198"/>
      <c r="R40" s="199">
        <f t="shared" si="11"/>
        <v>0</v>
      </c>
    </row>
    <row r="41" spans="1:18" s="175" customFormat="1" ht="11.25" outlineLevel="1">
      <c r="A41" s="197" t="s">
        <v>253</v>
      </c>
      <c r="B41" s="183"/>
      <c r="C41" s="184"/>
      <c r="D41" s="184"/>
      <c r="E41" s="184"/>
      <c r="F41" s="198"/>
      <c r="G41" s="198"/>
      <c r="H41" s="198"/>
      <c r="I41" s="198"/>
      <c r="J41" s="198"/>
      <c r="K41" s="198"/>
      <c r="L41" s="198"/>
      <c r="M41" s="198"/>
      <c r="N41" s="198"/>
      <c r="O41" s="198"/>
      <c r="P41" s="198"/>
      <c r="Q41" s="198"/>
      <c r="R41" s="199">
        <f t="shared" si="11"/>
        <v>0</v>
      </c>
    </row>
    <row r="42" spans="1:18" s="175" customFormat="1" ht="11.25" outlineLevel="1">
      <c r="A42" s="197" t="s">
        <v>254</v>
      </c>
      <c r="B42" s="183"/>
      <c r="C42" s="184"/>
      <c r="D42" s="184"/>
      <c r="E42" s="184"/>
      <c r="F42" s="198"/>
      <c r="G42" s="198"/>
      <c r="H42" s="198"/>
      <c r="I42" s="198"/>
      <c r="J42" s="198"/>
      <c r="K42" s="198"/>
      <c r="L42" s="198"/>
      <c r="M42" s="198"/>
      <c r="N42" s="198"/>
      <c r="O42" s="198"/>
      <c r="P42" s="198"/>
      <c r="Q42" s="198"/>
      <c r="R42" s="199">
        <f t="shared" si="11"/>
        <v>0</v>
      </c>
    </row>
    <row r="43" spans="1:18" s="175" customFormat="1" ht="11.25" outlineLevel="1">
      <c r="A43" s="197" t="s">
        <v>255</v>
      </c>
      <c r="B43" s="183"/>
      <c r="C43" s="184"/>
      <c r="D43" s="184"/>
      <c r="E43" s="185"/>
      <c r="F43" s="180"/>
      <c r="G43" s="181"/>
      <c r="H43" s="181"/>
      <c r="I43" s="181"/>
      <c r="J43" s="181"/>
      <c r="K43" s="181"/>
      <c r="L43" s="181"/>
      <c r="M43" s="181"/>
      <c r="N43" s="181"/>
      <c r="O43" s="181"/>
      <c r="P43" s="181"/>
      <c r="Q43" s="181"/>
      <c r="R43" s="199">
        <f t="shared" si="11"/>
        <v>0</v>
      </c>
    </row>
    <row r="44" spans="1:18" s="175" customFormat="1" ht="11.25" outlineLevel="1">
      <c r="A44" s="200" t="s">
        <v>256</v>
      </c>
      <c r="B44" s="201"/>
      <c r="C44" s="202"/>
      <c r="D44" s="202"/>
      <c r="E44" s="203"/>
      <c r="F44" s="204" t="e">
        <f t="shared" ref="F44:Q44" si="12">(F34+G34)/2*F$3</f>
        <v>#REF!</v>
      </c>
      <c r="G44" s="204" t="e">
        <f t="shared" si="12"/>
        <v>#REF!</v>
      </c>
      <c r="H44" s="204" t="e">
        <f>(H34+I34)/2*H$3</f>
        <v>#REF!</v>
      </c>
      <c r="I44" s="204" t="e">
        <f t="shared" si="12"/>
        <v>#REF!</v>
      </c>
      <c r="J44" s="204" t="e">
        <f t="shared" si="12"/>
        <v>#REF!</v>
      </c>
      <c r="K44" s="204" t="e">
        <f t="shared" si="12"/>
        <v>#REF!</v>
      </c>
      <c r="L44" s="204" t="e">
        <f t="shared" si="12"/>
        <v>#REF!</v>
      </c>
      <c r="M44" s="204" t="e">
        <f t="shared" si="12"/>
        <v>#REF!</v>
      </c>
      <c r="N44" s="204" t="e">
        <f t="shared" si="12"/>
        <v>#REF!</v>
      </c>
      <c r="O44" s="204" t="e">
        <f t="shared" si="12"/>
        <v>#REF!</v>
      </c>
      <c r="P44" s="204" t="e">
        <f t="shared" si="12"/>
        <v>#REF!</v>
      </c>
      <c r="Q44" s="204" t="e">
        <f t="shared" si="12"/>
        <v>#REF!</v>
      </c>
      <c r="R44" s="205" t="e">
        <f t="shared" si="11"/>
        <v>#REF!</v>
      </c>
    </row>
    <row r="45" spans="1:18" s="175" customFormat="1" ht="12" outlineLevel="1" thickBot="1">
      <c r="A45" s="206" t="s">
        <v>257</v>
      </c>
      <c r="B45" s="207"/>
      <c r="C45" s="207"/>
      <c r="D45" s="208"/>
      <c r="E45" s="207"/>
      <c r="F45" s="209" t="e">
        <f t="shared" ref="F45:R45" si="13">F44/F$3</f>
        <v>#REF!</v>
      </c>
      <c r="G45" s="210" t="e">
        <f t="shared" si="13"/>
        <v>#REF!</v>
      </c>
      <c r="H45" s="210" t="e">
        <f t="shared" si="13"/>
        <v>#REF!</v>
      </c>
      <c r="I45" s="210" t="e">
        <f t="shared" si="13"/>
        <v>#REF!</v>
      </c>
      <c r="J45" s="210" t="e">
        <f t="shared" si="13"/>
        <v>#REF!</v>
      </c>
      <c r="K45" s="210" t="e">
        <f t="shared" si="13"/>
        <v>#REF!</v>
      </c>
      <c r="L45" s="210" t="e">
        <f t="shared" si="13"/>
        <v>#REF!</v>
      </c>
      <c r="M45" s="210" t="e">
        <f t="shared" si="13"/>
        <v>#REF!</v>
      </c>
      <c r="N45" s="210" t="e">
        <f t="shared" si="13"/>
        <v>#REF!</v>
      </c>
      <c r="O45" s="210" t="e">
        <f t="shared" si="13"/>
        <v>#REF!</v>
      </c>
      <c r="P45" s="210" t="e">
        <f t="shared" si="13"/>
        <v>#REF!</v>
      </c>
      <c r="Q45" s="210" t="e">
        <f t="shared" si="13"/>
        <v>#REF!</v>
      </c>
      <c r="R45" s="211" t="e">
        <f t="shared" si="13"/>
        <v>#REF!</v>
      </c>
    </row>
    <row r="46" spans="1:18" s="151" customFormat="1" ht="12" thickBot="1">
      <c r="A46" s="160" t="s">
        <v>261</v>
      </c>
      <c r="B46" s="161"/>
      <c r="C46" s="161"/>
      <c r="D46" s="161"/>
      <c r="E46" s="161"/>
      <c r="F46" s="161"/>
      <c r="G46" s="161"/>
      <c r="H46" s="161"/>
      <c r="I46" s="161"/>
      <c r="J46" s="161"/>
      <c r="K46" s="161"/>
      <c r="L46" s="161"/>
      <c r="M46" s="161"/>
      <c r="N46" s="161"/>
      <c r="O46" s="161"/>
      <c r="P46" s="161"/>
      <c r="Q46" s="161"/>
      <c r="R46" s="162"/>
    </row>
    <row r="47" spans="1:18" s="151" customFormat="1" ht="12" outlineLevel="1" thickBot="1">
      <c r="A47" s="163" t="s">
        <v>245</v>
      </c>
      <c r="B47" s="164"/>
      <c r="C47" s="164"/>
      <c r="D47" s="165"/>
      <c r="E47" s="166"/>
      <c r="F47" s="164"/>
      <c r="G47" s="164"/>
      <c r="H47" s="164"/>
      <c r="I47" s="164"/>
      <c r="J47" s="164"/>
      <c r="K47" s="164"/>
      <c r="L47" s="164"/>
      <c r="M47" s="164"/>
      <c r="N47" s="164"/>
      <c r="O47" s="164"/>
      <c r="P47" s="164"/>
      <c r="Q47" s="164"/>
      <c r="R47" s="167"/>
    </row>
    <row r="48" spans="1:18" s="175" customFormat="1" ht="11.25" outlineLevel="1">
      <c r="A48" s="168" t="s">
        <v>262</v>
      </c>
      <c r="B48" s="212" t="e">
        <f>'КРМД-22'!R48</f>
        <v>#REF!</v>
      </c>
      <c r="C48" s="212"/>
      <c r="D48" s="213" t="e">
        <f>B48*0.45</f>
        <v>#REF!</v>
      </c>
      <c r="E48" s="225"/>
      <c r="F48" s="172" t="e">
        <f>B48</f>
        <v>#REF!</v>
      </c>
      <c r="G48" s="173" t="e">
        <f>(F48+F49+F50+F51-F53-F54-F55-F56-F57)</f>
        <v>#REF!</v>
      </c>
      <c r="H48" s="173" t="e">
        <f>(G48+G49+G50+G51-G53-G54-G55-G56-G57)</f>
        <v>#REF!</v>
      </c>
      <c r="I48" s="173" t="e">
        <f>(H48+H49+H50+H51-H53-H54-H55-H56-H57)</f>
        <v>#REF!</v>
      </c>
      <c r="J48" s="173" t="e">
        <f>(I48+I49+I50+I51-I53-I54-I55-I56-I57)</f>
        <v>#REF!</v>
      </c>
      <c r="K48" s="173" t="e">
        <f t="shared" ref="K48:R48" si="14">(J48+J49+J50+J51-J53-J54-J55-J56-J57)</f>
        <v>#REF!</v>
      </c>
      <c r="L48" s="173" t="e">
        <f t="shared" si="14"/>
        <v>#REF!</v>
      </c>
      <c r="M48" s="173" t="e">
        <f t="shared" si="14"/>
        <v>#REF!</v>
      </c>
      <c r="N48" s="173" t="e">
        <f t="shared" si="14"/>
        <v>#REF!</v>
      </c>
      <c r="O48" s="173" t="e">
        <f t="shared" si="14"/>
        <v>#REF!</v>
      </c>
      <c r="P48" s="173" t="e">
        <f t="shared" si="14"/>
        <v>#REF!</v>
      </c>
      <c r="Q48" s="173" t="e">
        <f t="shared" si="14"/>
        <v>#REF!</v>
      </c>
      <c r="R48" s="174" t="e">
        <f t="shared" si="14"/>
        <v>#REF!</v>
      </c>
    </row>
    <row r="49" spans="1:18" s="175" customFormat="1" ht="11.25" outlineLevel="1">
      <c r="A49" s="214" t="s">
        <v>247</v>
      </c>
      <c r="B49" s="177"/>
      <c r="C49" s="178"/>
      <c r="D49" s="178"/>
      <c r="E49" s="179"/>
      <c r="F49" s="226">
        <f t="shared" ref="F49:Q49" si="15">F11+F39+F25</f>
        <v>0</v>
      </c>
      <c r="G49" s="198">
        <f t="shared" si="15"/>
        <v>0</v>
      </c>
      <c r="H49" s="198">
        <f t="shared" si="15"/>
        <v>0</v>
      </c>
      <c r="I49" s="198">
        <f t="shared" si="15"/>
        <v>0</v>
      </c>
      <c r="J49" s="198">
        <f t="shared" si="15"/>
        <v>0</v>
      </c>
      <c r="K49" s="198">
        <f t="shared" si="15"/>
        <v>0</v>
      </c>
      <c r="L49" s="198">
        <f t="shared" si="15"/>
        <v>0</v>
      </c>
      <c r="M49" s="198">
        <f t="shared" si="15"/>
        <v>0</v>
      </c>
      <c r="N49" s="198">
        <f t="shared" si="15"/>
        <v>0</v>
      </c>
      <c r="O49" s="198">
        <f t="shared" si="15"/>
        <v>0</v>
      </c>
      <c r="P49" s="198">
        <f t="shared" si="15"/>
        <v>0</v>
      </c>
      <c r="Q49" s="198">
        <f t="shared" si="15"/>
        <v>0</v>
      </c>
      <c r="R49" s="182">
        <f>SUM(F49:Q49)</f>
        <v>0</v>
      </c>
    </row>
    <row r="50" spans="1:18" s="175" customFormat="1" ht="11.25" outlineLevel="1">
      <c r="A50" s="214" t="s">
        <v>248</v>
      </c>
      <c r="B50" s="183"/>
      <c r="C50" s="184"/>
      <c r="D50" s="184"/>
      <c r="E50" s="185"/>
      <c r="F50" s="180"/>
      <c r="G50" s="181"/>
      <c r="H50" s="181"/>
      <c r="I50" s="181"/>
      <c r="J50" s="181"/>
      <c r="K50" s="181"/>
      <c r="L50" s="181"/>
      <c r="M50" s="181"/>
      <c r="N50" s="181"/>
      <c r="O50" s="181"/>
      <c r="P50" s="181"/>
      <c r="Q50" s="181"/>
      <c r="R50" s="182">
        <f>SUM(F50:Q50)</f>
        <v>0</v>
      </c>
    </row>
    <row r="51" spans="1:18" s="175" customFormat="1" ht="12" outlineLevel="1" thickBot="1">
      <c r="A51" s="215" t="s">
        <v>249</v>
      </c>
      <c r="B51" s="183"/>
      <c r="C51" s="184"/>
      <c r="D51" s="184"/>
      <c r="E51" s="185"/>
      <c r="F51" s="187"/>
      <c r="G51" s="188"/>
      <c r="H51" s="188"/>
      <c r="I51" s="188"/>
      <c r="J51" s="188"/>
      <c r="K51" s="188"/>
      <c r="L51" s="188"/>
      <c r="M51" s="188"/>
      <c r="N51" s="188"/>
      <c r="O51" s="188"/>
      <c r="P51" s="188"/>
      <c r="Q51" s="188"/>
      <c r="R51" s="189">
        <f>SUM(F51:Q51)</f>
        <v>0</v>
      </c>
    </row>
    <row r="52" spans="1:18" s="151" customFormat="1" ht="12" outlineLevel="1" thickBot="1">
      <c r="A52" s="216" t="s">
        <v>250</v>
      </c>
      <c r="B52" s="183"/>
      <c r="C52" s="184"/>
      <c r="D52" s="184"/>
      <c r="E52" s="185"/>
      <c r="F52" s="191"/>
      <c r="G52" s="164"/>
      <c r="H52" s="164"/>
      <c r="I52" s="164"/>
      <c r="J52" s="164"/>
      <c r="K52" s="164"/>
      <c r="L52" s="164"/>
      <c r="M52" s="164"/>
      <c r="N52" s="164"/>
      <c r="O52" s="164"/>
      <c r="P52" s="164"/>
      <c r="Q52" s="164"/>
      <c r="R52" s="192"/>
    </row>
    <row r="53" spans="1:18" s="175" customFormat="1" ht="11.25" outlineLevel="1">
      <c r="A53" s="217" t="s">
        <v>251</v>
      </c>
      <c r="B53" s="183"/>
      <c r="C53" s="184"/>
      <c r="D53" s="184"/>
      <c r="E53" s="185"/>
      <c r="F53" s="219"/>
      <c r="G53" s="220"/>
      <c r="H53" s="220"/>
      <c r="I53" s="220"/>
      <c r="J53" s="220"/>
      <c r="K53" s="220"/>
      <c r="L53" s="220"/>
      <c r="M53" s="220"/>
      <c r="N53" s="220"/>
      <c r="O53" s="220"/>
      <c r="P53" s="220"/>
      <c r="Q53" s="220"/>
      <c r="R53" s="196">
        <f t="shared" ref="R53:R58" si="16">SUM(F53:Q53)</f>
        <v>0</v>
      </c>
    </row>
    <row r="54" spans="1:18" s="175" customFormat="1" ht="22.5" customHeight="1" outlineLevel="1">
      <c r="A54" s="218" t="s">
        <v>252</v>
      </c>
      <c r="B54" s="183"/>
      <c r="C54" s="184"/>
      <c r="D54" s="184"/>
      <c r="E54" s="185"/>
      <c r="F54" s="180"/>
      <c r="G54" s="181"/>
      <c r="H54" s="181"/>
      <c r="I54" s="181"/>
      <c r="J54" s="181"/>
      <c r="K54" s="181"/>
      <c r="L54" s="181"/>
      <c r="M54" s="181"/>
      <c r="N54" s="181"/>
      <c r="O54" s="181"/>
      <c r="P54" s="181" t="e">
        <f>P48</f>
        <v>#REF!</v>
      </c>
      <c r="Q54" s="181"/>
      <c r="R54" s="182" t="e">
        <f t="shared" si="16"/>
        <v>#REF!</v>
      </c>
    </row>
    <row r="55" spans="1:18" s="175" customFormat="1" ht="11.25" outlineLevel="1">
      <c r="A55" s="218" t="s">
        <v>253</v>
      </c>
      <c r="B55" s="183"/>
      <c r="C55" s="184"/>
      <c r="D55" s="184"/>
      <c r="E55" s="185"/>
      <c r="F55" s="180"/>
      <c r="G55" s="181"/>
      <c r="H55" s="181"/>
      <c r="I55" s="181"/>
      <c r="J55" s="181"/>
      <c r="K55" s="181"/>
      <c r="L55" s="181"/>
      <c r="M55" s="181"/>
      <c r="N55" s="181"/>
      <c r="O55" s="181"/>
      <c r="P55" s="181"/>
      <c r="Q55" s="181"/>
      <c r="R55" s="182">
        <f t="shared" si="16"/>
        <v>0</v>
      </c>
    </row>
    <row r="56" spans="1:18" s="175" customFormat="1" ht="11.25" outlineLevel="1">
      <c r="A56" s="218" t="s">
        <v>254</v>
      </c>
      <c r="B56" s="183"/>
      <c r="C56" s="184"/>
      <c r="D56" s="184"/>
      <c r="E56" s="185"/>
      <c r="F56" s="180"/>
      <c r="G56" s="181"/>
      <c r="H56" s="181"/>
      <c r="I56" s="181"/>
      <c r="J56" s="181"/>
      <c r="K56" s="181"/>
      <c r="L56" s="181"/>
      <c r="M56" s="181"/>
      <c r="N56" s="181"/>
      <c r="O56" s="181"/>
      <c r="P56" s="181"/>
      <c r="Q56" s="181"/>
      <c r="R56" s="182">
        <f t="shared" si="16"/>
        <v>0</v>
      </c>
    </row>
    <row r="57" spans="1:18" s="175" customFormat="1" ht="11.25" outlineLevel="1">
      <c r="A57" s="218" t="s">
        <v>255</v>
      </c>
      <c r="B57" s="183"/>
      <c r="C57" s="184"/>
      <c r="D57" s="184"/>
      <c r="E57" s="185"/>
      <c r="F57" s="180"/>
      <c r="G57" s="181"/>
      <c r="H57" s="181"/>
      <c r="I57" s="181"/>
      <c r="J57" s="181"/>
      <c r="K57" s="181"/>
      <c r="L57" s="181"/>
      <c r="M57" s="181"/>
      <c r="N57" s="181"/>
      <c r="O57" s="181"/>
      <c r="P57" s="181"/>
      <c r="Q57" s="181"/>
      <c r="R57" s="182">
        <f t="shared" si="16"/>
        <v>0</v>
      </c>
    </row>
    <row r="58" spans="1:18" s="175" customFormat="1" ht="11.25" outlineLevel="1">
      <c r="A58" s="221" t="s">
        <v>256</v>
      </c>
      <c r="B58" s="201"/>
      <c r="C58" s="202"/>
      <c r="D58" s="202"/>
      <c r="E58" s="203"/>
      <c r="F58" s="204" t="e">
        <f t="shared" ref="F58:Q58" si="17">(F48+G48)/2*F$3</f>
        <v>#REF!</v>
      </c>
      <c r="G58" s="204" t="e">
        <f t="shared" si="17"/>
        <v>#REF!</v>
      </c>
      <c r="H58" s="204" t="e">
        <f t="shared" si="17"/>
        <v>#REF!</v>
      </c>
      <c r="I58" s="204" t="e">
        <f t="shared" si="17"/>
        <v>#REF!</v>
      </c>
      <c r="J58" s="204" t="e">
        <f t="shared" si="17"/>
        <v>#REF!</v>
      </c>
      <c r="K58" s="204" t="e">
        <f t="shared" si="17"/>
        <v>#REF!</v>
      </c>
      <c r="L58" s="204" t="e">
        <f t="shared" si="17"/>
        <v>#REF!</v>
      </c>
      <c r="M58" s="204" t="e">
        <f>(M48+N48)/2*M$3</f>
        <v>#REF!</v>
      </c>
      <c r="N58" s="204" t="e">
        <f t="shared" si="17"/>
        <v>#REF!</v>
      </c>
      <c r="O58" s="204" t="e">
        <f t="shared" si="17"/>
        <v>#REF!</v>
      </c>
      <c r="P58" s="204" t="e">
        <f t="shared" si="17"/>
        <v>#REF!</v>
      </c>
      <c r="Q58" s="204" t="e">
        <f t="shared" si="17"/>
        <v>#REF!</v>
      </c>
      <c r="R58" s="205" t="e">
        <f t="shared" si="16"/>
        <v>#REF!</v>
      </c>
    </row>
    <row r="59" spans="1:18" s="175" customFormat="1" ht="12" outlineLevel="1" thickBot="1">
      <c r="A59" s="206" t="s">
        <v>257</v>
      </c>
      <c r="B59" s="207"/>
      <c r="C59" s="207"/>
      <c r="D59" s="208"/>
      <c r="E59" s="207"/>
      <c r="F59" s="209" t="e">
        <f t="shared" ref="F59:R59" si="18">F58/F$3</f>
        <v>#REF!</v>
      </c>
      <c r="G59" s="210" t="e">
        <f t="shared" si="18"/>
        <v>#REF!</v>
      </c>
      <c r="H59" s="210" t="e">
        <f t="shared" si="18"/>
        <v>#REF!</v>
      </c>
      <c r="I59" s="210" t="e">
        <f t="shared" si="18"/>
        <v>#REF!</v>
      </c>
      <c r="J59" s="210" t="e">
        <f t="shared" si="18"/>
        <v>#REF!</v>
      </c>
      <c r="K59" s="210" t="e">
        <f t="shared" si="18"/>
        <v>#REF!</v>
      </c>
      <c r="L59" s="210" t="e">
        <f t="shared" si="18"/>
        <v>#REF!</v>
      </c>
      <c r="M59" s="210" t="e">
        <f t="shared" si="18"/>
        <v>#REF!</v>
      </c>
      <c r="N59" s="210" t="e">
        <f t="shared" si="18"/>
        <v>#REF!</v>
      </c>
      <c r="O59" s="210" t="e">
        <f t="shared" si="18"/>
        <v>#REF!</v>
      </c>
      <c r="P59" s="210" t="e">
        <f t="shared" si="18"/>
        <v>#REF!</v>
      </c>
      <c r="Q59" s="210" t="e">
        <f t="shared" si="18"/>
        <v>#REF!</v>
      </c>
      <c r="R59" s="211" t="e">
        <f t="shared" si="18"/>
        <v>#REF!</v>
      </c>
    </row>
    <row r="60" spans="1:18" s="151" customFormat="1" ht="12" thickBot="1">
      <c r="A60" s="160" t="s">
        <v>263</v>
      </c>
      <c r="B60" s="161"/>
      <c r="C60" s="161"/>
      <c r="D60" s="161"/>
      <c r="E60" s="161"/>
      <c r="F60" s="161"/>
      <c r="G60" s="161"/>
      <c r="H60" s="161"/>
      <c r="I60" s="161"/>
      <c r="J60" s="161"/>
      <c r="K60" s="161"/>
      <c r="L60" s="161"/>
      <c r="M60" s="161"/>
      <c r="N60" s="161"/>
      <c r="O60" s="161"/>
      <c r="P60" s="161"/>
      <c r="Q60" s="161"/>
      <c r="R60" s="162"/>
    </row>
    <row r="61" spans="1:18" s="151" customFormat="1" ht="12" outlineLevel="1" thickBot="1">
      <c r="A61" s="163" t="s">
        <v>245</v>
      </c>
      <c r="B61" s="164"/>
      <c r="C61" s="164"/>
      <c r="D61" s="165"/>
      <c r="E61" s="166"/>
      <c r="F61" s="164"/>
      <c r="G61" s="164"/>
      <c r="H61" s="164"/>
      <c r="I61" s="164"/>
      <c r="J61" s="164"/>
      <c r="K61" s="164"/>
      <c r="L61" s="164"/>
      <c r="M61" s="164"/>
      <c r="N61" s="164"/>
      <c r="O61" s="164"/>
      <c r="P61" s="164"/>
      <c r="Q61" s="164"/>
      <c r="R61" s="167"/>
    </row>
    <row r="62" spans="1:18" s="175" customFormat="1" ht="11.25" outlineLevel="1">
      <c r="A62" s="168" t="s">
        <v>262</v>
      </c>
      <c r="B62" s="169" t="e">
        <f>+'КРМД-22'!R62</f>
        <v>#REF!</v>
      </c>
      <c r="C62" s="169"/>
      <c r="D62" s="213" t="e">
        <f>B62*0.32</f>
        <v>#REF!</v>
      </c>
      <c r="E62" s="171" t="e">
        <f>+D62*270</f>
        <v>#REF!</v>
      </c>
      <c r="F62" s="172" t="e">
        <f>B62</f>
        <v>#REF!</v>
      </c>
      <c r="G62" s="173" t="e">
        <f t="shared" ref="G62:R62" si="19">(F62+F63+F64+F65-F67-F68-F69-F70-F71)</f>
        <v>#REF!</v>
      </c>
      <c r="H62" s="173" t="e">
        <f t="shared" si="19"/>
        <v>#REF!</v>
      </c>
      <c r="I62" s="173" t="e">
        <f t="shared" si="19"/>
        <v>#REF!</v>
      </c>
      <c r="J62" s="173" t="e">
        <f t="shared" si="19"/>
        <v>#REF!</v>
      </c>
      <c r="K62" s="173" t="e">
        <f t="shared" si="19"/>
        <v>#REF!</v>
      </c>
      <c r="L62" s="173" t="e">
        <f t="shared" si="19"/>
        <v>#REF!</v>
      </c>
      <c r="M62" s="173" t="e">
        <f t="shared" si="19"/>
        <v>#REF!</v>
      </c>
      <c r="N62" s="173" t="e">
        <f t="shared" si="19"/>
        <v>#REF!</v>
      </c>
      <c r="O62" s="173" t="e">
        <f t="shared" si="19"/>
        <v>#REF!</v>
      </c>
      <c r="P62" s="173" t="e">
        <f t="shared" si="19"/>
        <v>#REF!</v>
      </c>
      <c r="Q62" s="173" t="e">
        <f t="shared" si="19"/>
        <v>#REF!</v>
      </c>
      <c r="R62" s="174" t="e">
        <f t="shared" si="19"/>
        <v>#REF!</v>
      </c>
    </row>
    <row r="63" spans="1:18" s="175" customFormat="1" ht="11.25" outlineLevel="1">
      <c r="A63" s="176" t="s">
        <v>247</v>
      </c>
      <c r="B63" s="177"/>
      <c r="C63" s="178"/>
      <c r="D63" s="178"/>
      <c r="E63" s="179"/>
      <c r="F63" s="227">
        <f>F81</f>
        <v>0</v>
      </c>
      <c r="G63" s="227">
        <f t="shared" ref="G63:Q63" si="20">G81</f>
        <v>0</v>
      </c>
      <c r="H63" s="227">
        <f t="shared" si="20"/>
        <v>0</v>
      </c>
      <c r="I63" s="227">
        <f t="shared" si="20"/>
        <v>0</v>
      </c>
      <c r="J63" s="227">
        <f t="shared" si="20"/>
        <v>0</v>
      </c>
      <c r="K63" s="227">
        <f t="shared" si="20"/>
        <v>0</v>
      </c>
      <c r="L63" s="227">
        <f t="shared" si="20"/>
        <v>0</v>
      </c>
      <c r="M63" s="227">
        <f t="shared" si="20"/>
        <v>0</v>
      </c>
      <c r="N63" s="227">
        <f t="shared" si="20"/>
        <v>0</v>
      </c>
      <c r="O63" s="227">
        <f>O81</f>
        <v>0</v>
      </c>
      <c r="P63" s="227">
        <f t="shared" si="20"/>
        <v>0</v>
      </c>
      <c r="Q63" s="227" t="e">
        <f t="shared" si="20"/>
        <v>#REF!</v>
      </c>
      <c r="R63" s="182" t="e">
        <f t="shared" ref="R63:R72" si="21">SUM(F63:Q63)</f>
        <v>#REF!</v>
      </c>
    </row>
    <row r="64" spans="1:18" s="175" customFormat="1" ht="11.25" outlineLevel="1">
      <c r="A64" s="176" t="s">
        <v>248</v>
      </c>
      <c r="B64" s="183"/>
      <c r="C64" s="184"/>
      <c r="D64" s="184"/>
      <c r="E64" s="185"/>
      <c r="F64" s="227"/>
      <c r="G64" s="181"/>
      <c r="H64" s="181"/>
      <c r="I64" s="181"/>
      <c r="J64" s="181"/>
      <c r="K64" s="181"/>
      <c r="L64" s="181"/>
      <c r="M64" s="181"/>
      <c r="N64" s="181"/>
      <c r="O64" s="181"/>
      <c r="P64" s="181"/>
      <c r="Q64" s="181"/>
      <c r="R64" s="182">
        <f t="shared" si="21"/>
        <v>0</v>
      </c>
    </row>
    <row r="65" spans="1:18" s="175" customFormat="1" ht="12" outlineLevel="1" thickBot="1">
      <c r="A65" s="186" t="s">
        <v>249</v>
      </c>
      <c r="B65" s="183"/>
      <c r="C65" s="184"/>
      <c r="D65" s="184"/>
      <c r="E65" s="185"/>
      <c r="F65" s="188"/>
      <c r="G65" s="188"/>
      <c r="H65" s="188"/>
      <c r="I65" s="188"/>
      <c r="J65" s="188"/>
      <c r="K65" s="188"/>
      <c r="L65" s="188"/>
      <c r="M65" s="188"/>
      <c r="N65" s="188"/>
      <c r="O65" s="188"/>
      <c r="P65" s="188"/>
      <c r="Q65" s="188"/>
      <c r="R65" s="189">
        <f t="shared" si="21"/>
        <v>0</v>
      </c>
    </row>
    <row r="66" spans="1:18" s="175" customFormat="1" ht="12" outlineLevel="1" thickBot="1">
      <c r="A66" s="190" t="s">
        <v>250</v>
      </c>
      <c r="B66" s="183"/>
      <c r="C66" s="184"/>
      <c r="D66" s="184"/>
      <c r="E66" s="185"/>
      <c r="F66" s="228"/>
      <c r="G66" s="228"/>
      <c r="H66" s="228"/>
      <c r="I66" s="228"/>
      <c r="J66" s="228"/>
      <c r="K66" s="228"/>
      <c r="L66" s="228"/>
      <c r="M66" s="228"/>
      <c r="N66" s="228"/>
      <c r="O66" s="228"/>
      <c r="P66" s="228"/>
      <c r="Q66" s="228"/>
      <c r="R66" s="192">
        <f t="shared" si="21"/>
        <v>0</v>
      </c>
    </row>
    <row r="67" spans="1:18" s="175" customFormat="1" ht="11.25" outlineLevel="1">
      <c r="A67" s="193" t="s">
        <v>251</v>
      </c>
      <c r="B67" s="183"/>
      <c r="C67" s="184"/>
      <c r="D67" s="184"/>
      <c r="E67" s="185"/>
      <c r="F67" s="229"/>
      <c r="G67" s="220"/>
      <c r="H67" s="220" t="e">
        <f>+H62</f>
        <v>#REF!</v>
      </c>
      <c r="I67" s="220"/>
      <c r="J67" s="220"/>
      <c r="K67" s="220"/>
      <c r="L67" s="220"/>
      <c r="M67" s="220"/>
      <c r="N67" s="220"/>
      <c r="O67" s="220"/>
      <c r="P67" s="220"/>
      <c r="Q67" s="220"/>
      <c r="R67" s="196" t="e">
        <f t="shared" si="21"/>
        <v>#REF!</v>
      </c>
    </row>
    <row r="68" spans="1:18" s="175" customFormat="1" ht="22.5" customHeight="1" outlineLevel="1">
      <c r="A68" s="197" t="s">
        <v>252</v>
      </c>
      <c r="B68" s="183"/>
      <c r="C68" s="184"/>
      <c r="D68" s="184"/>
      <c r="E68" s="185"/>
      <c r="F68" s="227"/>
      <c r="G68" s="181"/>
      <c r="H68" s="181"/>
      <c r="I68" s="181"/>
      <c r="J68" s="181"/>
      <c r="K68" s="181"/>
      <c r="L68" s="181"/>
      <c r="M68" s="181"/>
      <c r="N68" s="181"/>
      <c r="O68" s="181"/>
      <c r="P68" s="181"/>
      <c r="Q68" s="181"/>
      <c r="R68" s="182">
        <f t="shared" si="21"/>
        <v>0</v>
      </c>
    </row>
    <row r="69" spans="1:18" s="175" customFormat="1" ht="11.25" outlineLevel="1">
      <c r="A69" s="197" t="s">
        <v>253</v>
      </c>
      <c r="B69" s="183"/>
      <c r="C69" s="184"/>
      <c r="D69" s="184"/>
      <c r="E69" s="185"/>
      <c r="F69" s="227"/>
      <c r="G69" s="181"/>
      <c r="H69" s="181"/>
      <c r="I69" s="181"/>
      <c r="J69" s="181"/>
      <c r="K69" s="181"/>
      <c r="L69" s="181"/>
      <c r="M69" s="181"/>
      <c r="N69" s="181"/>
      <c r="O69" s="181"/>
      <c r="P69" s="181"/>
      <c r="Q69" s="181"/>
      <c r="R69" s="182">
        <f t="shared" si="21"/>
        <v>0</v>
      </c>
    </row>
    <row r="70" spans="1:18" s="175" customFormat="1" ht="11.25" outlineLevel="1">
      <c r="A70" s="197" t="s">
        <v>254</v>
      </c>
      <c r="B70" s="183"/>
      <c r="C70" s="184"/>
      <c r="D70" s="184"/>
      <c r="E70" s="185"/>
      <c r="F70" s="227"/>
      <c r="G70" s="181"/>
      <c r="H70" s="181"/>
      <c r="I70" s="181"/>
      <c r="J70" s="181"/>
      <c r="K70" s="181"/>
      <c r="L70" s="181"/>
      <c r="M70" s="181"/>
      <c r="N70" s="181"/>
      <c r="O70" s="181"/>
      <c r="P70" s="181"/>
      <c r="Q70" s="181"/>
      <c r="R70" s="182">
        <f t="shared" si="21"/>
        <v>0</v>
      </c>
    </row>
    <row r="71" spans="1:18" s="175" customFormat="1" ht="11.25" outlineLevel="1">
      <c r="A71" s="197" t="s">
        <v>255</v>
      </c>
      <c r="B71" s="183"/>
      <c r="C71" s="184"/>
      <c r="D71" s="184"/>
      <c r="E71" s="185"/>
      <c r="F71" s="227"/>
      <c r="G71" s="181"/>
      <c r="H71" s="181"/>
      <c r="I71" s="181"/>
      <c r="J71" s="181"/>
      <c r="K71" s="181"/>
      <c r="L71" s="181"/>
      <c r="M71" s="181"/>
      <c r="N71" s="181"/>
      <c r="O71" s="181"/>
      <c r="P71" s="181"/>
      <c r="Q71" s="181"/>
      <c r="R71" s="182">
        <f t="shared" si="21"/>
        <v>0</v>
      </c>
    </row>
    <row r="72" spans="1:18" s="175" customFormat="1" ht="11.25" outlineLevel="1">
      <c r="A72" s="200" t="s">
        <v>256</v>
      </c>
      <c r="B72" s="201"/>
      <c r="C72" s="202"/>
      <c r="D72" s="202"/>
      <c r="E72" s="203"/>
      <c r="F72" s="204" t="e">
        <f t="shared" ref="F72:Q72" si="22">(F62+G62)/2*F$3</f>
        <v>#REF!</v>
      </c>
      <c r="G72" s="204" t="e">
        <f t="shared" si="22"/>
        <v>#REF!</v>
      </c>
      <c r="H72" s="204" t="e">
        <f t="shared" si="22"/>
        <v>#REF!</v>
      </c>
      <c r="I72" s="204" t="e">
        <f t="shared" si="22"/>
        <v>#REF!</v>
      </c>
      <c r="J72" s="204" t="e">
        <f t="shared" si="22"/>
        <v>#REF!</v>
      </c>
      <c r="K72" s="204" t="e">
        <f t="shared" si="22"/>
        <v>#REF!</v>
      </c>
      <c r="L72" s="204" t="e">
        <f t="shared" si="22"/>
        <v>#REF!</v>
      </c>
      <c r="M72" s="204" t="e">
        <f t="shared" si="22"/>
        <v>#REF!</v>
      </c>
      <c r="N72" s="204" t="e">
        <f t="shared" si="22"/>
        <v>#REF!</v>
      </c>
      <c r="O72" s="204" t="e">
        <f t="shared" si="22"/>
        <v>#REF!</v>
      </c>
      <c r="P72" s="204" t="e">
        <f t="shared" si="22"/>
        <v>#REF!</v>
      </c>
      <c r="Q72" s="204" t="e">
        <f t="shared" si="22"/>
        <v>#REF!</v>
      </c>
      <c r="R72" s="205" t="e">
        <f t="shared" si="21"/>
        <v>#REF!</v>
      </c>
    </row>
    <row r="73" spans="1:18" s="175" customFormat="1" ht="12" outlineLevel="1" thickBot="1">
      <c r="A73" s="206" t="s">
        <v>257</v>
      </c>
      <c r="B73" s="207"/>
      <c r="C73" s="207"/>
      <c r="D73" s="208"/>
      <c r="E73" s="207"/>
      <c r="F73" s="209" t="e">
        <f t="shared" ref="F73:R73" si="23">F72/F$3</f>
        <v>#REF!</v>
      </c>
      <c r="G73" s="210" t="e">
        <f t="shared" si="23"/>
        <v>#REF!</v>
      </c>
      <c r="H73" s="210" t="e">
        <f t="shared" si="23"/>
        <v>#REF!</v>
      </c>
      <c r="I73" s="210" t="e">
        <f t="shared" si="23"/>
        <v>#REF!</v>
      </c>
      <c r="J73" s="210" t="e">
        <f t="shared" si="23"/>
        <v>#REF!</v>
      </c>
      <c r="K73" s="210" t="e">
        <f t="shared" si="23"/>
        <v>#REF!</v>
      </c>
      <c r="L73" s="210" t="e">
        <f t="shared" si="23"/>
        <v>#REF!</v>
      </c>
      <c r="M73" s="210" t="e">
        <f t="shared" si="23"/>
        <v>#REF!</v>
      </c>
      <c r="N73" s="210" t="e">
        <f t="shared" si="23"/>
        <v>#REF!</v>
      </c>
      <c r="O73" s="210" t="e">
        <f t="shared" si="23"/>
        <v>#REF!</v>
      </c>
      <c r="P73" s="210" t="e">
        <f t="shared" si="23"/>
        <v>#REF!</v>
      </c>
      <c r="Q73" s="210" t="e">
        <f t="shared" si="23"/>
        <v>#REF!</v>
      </c>
      <c r="R73" s="211" t="e">
        <f t="shared" si="23"/>
        <v>#REF!</v>
      </c>
    </row>
    <row r="74" spans="1:18" s="151" customFormat="1" ht="12" thickBot="1">
      <c r="A74" s="160" t="s">
        <v>264</v>
      </c>
      <c r="B74" s="161"/>
      <c r="C74" s="161"/>
      <c r="D74" s="161"/>
      <c r="E74" s="161"/>
      <c r="F74" s="161"/>
      <c r="G74" s="161"/>
      <c r="H74" s="161"/>
      <c r="I74" s="161"/>
      <c r="J74" s="161"/>
      <c r="K74" s="161"/>
      <c r="L74" s="161"/>
      <c r="M74" s="161"/>
      <c r="N74" s="161"/>
      <c r="O74" s="161"/>
      <c r="P74" s="161"/>
      <c r="Q74" s="161"/>
      <c r="R74" s="162"/>
    </row>
    <row r="75" spans="1:18" s="151" customFormat="1" ht="12" outlineLevel="1" thickBot="1">
      <c r="A75" s="163"/>
      <c r="B75" s="164"/>
      <c r="C75" s="164"/>
      <c r="D75" s="165"/>
      <c r="E75" s="166"/>
      <c r="F75" s="164"/>
      <c r="G75" s="164"/>
      <c r="H75" s="164"/>
      <c r="I75" s="164"/>
      <c r="J75" s="164"/>
      <c r="K75" s="164"/>
      <c r="L75" s="164"/>
      <c r="M75" s="164"/>
      <c r="N75" s="164"/>
      <c r="O75" s="164"/>
      <c r="P75" s="164"/>
      <c r="Q75" s="164"/>
      <c r="R75" s="167"/>
    </row>
    <row r="76" spans="1:18" s="175" customFormat="1" ht="11.25" outlineLevel="1">
      <c r="A76" s="168" t="s">
        <v>262</v>
      </c>
      <c r="B76" s="212" t="e">
        <f>+'КРМД-22'!R76</f>
        <v>#REF!</v>
      </c>
      <c r="C76" s="212"/>
      <c r="D76" s="213" t="e">
        <f>B76*0.28</f>
        <v>#REF!</v>
      </c>
      <c r="E76" s="171" t="e">
        <f>+D76*270</f>
        <v>#REF!</v>
      </c>
      <c r="F76" s="172" t="e">
        <f>B76</f>
        <v>#REF!</v>
      </c>
      <c r="G76" s="173" t="e">
        <f t="shared" ref="G76:R76" si="24">(F76+F77+F78+F79-F81-F82-F83-F84-F85)</f>
        <v>#REF!</v>
      </c>
      <c r="H76" s="173" t="e">
        <f t="shared" si="24"/>
        <v>#REF!</v>
      </c>
      <c r="I76" s="173" t="e">
        <f t="shared" si="24"/>
        <v>#REF!</v>
      </c>
      <c r="J76" s="173" t="e">
        <f t="shared" si="24"/>
        <v>#REF!</v>
      </c>
      <c r="K76" s="173" t="e">
        <f t="shared" si="24"/>
        <v>#REF!</v>
      </c>
      <c r="L76" s="173" t="e">
        <f t="shared" si="24"/>
        <v>#REF!</v>
      </c>
      <c r="M76" s="173" t="e">
        <f t="shared" si="24"/>
        <v>#REF!</v>
      </c>
      <c r="N76" s="173" t="e">
        <f t="shared" si="24"/>
        <v>#REF!</v>
      </c>
      <c r="O76" s="173" t="e">
        <f t="shared" si="24"/>
        <v>#REF!</v>
      </c>
      <c r="P76" s="173" t="e">
        <f t="shared" si="24"/>
        <v>#REF!</v>
      </c>
      <c r="Q76" s="173" t="e">
        <f t="shared" si="24"/>
        <v>#REF!</v>
      </c>
      <c r="R76" s="174" t="e">
        <f t="shared" si="24"/>
        <v>#REF!</v>
      </c>
    </row>
    <row r="77" spans="1:18" s="175" customFormat="1" ht="11.25" outlineLevel="1">
      <c r="A77" s="214" t="s">
        <v>247</v>
      </c>
      <c r="B77" s="177"/>
      <c r="C77" s="178"/>
      <c r="D77" s="178"/>
      <c r="E77" s="179"/>
      <c r="F77" s="180">
        <f>F95</f>
        <v>0</v>
      </c>
      <c r="G77" s="180">
        <f t="shared" ref="G77:Q77" si="25">G95</f>
        <v>0</v>
      </c>
      <c r="H77" s="180">
        <f t="shared" si="25"/>
        <v>0</v>
      </c>
      <c r="I77" s="180">
        <f t="shared" si="25"/>
        <v>0</v>
      </c>
      <c r="J77" s="180">
        <f t="shared" si="25"/>
        <v>0</v>
      </c>
      <c r="K77" s="180">
        <f t="shared" si="25"/>
        <v>0</v>
      </c>
      <c r="L77" s="180">
        <f t="shared" si="25"/>
        <v>0</v>
      </c>
      <c r="M77" s="180">
        <f t="shared" si="25"/>
        <v>0</v>
      </c>
      <c r="N77" s="180">
        <f t="shared" si="25"/>
        <v>0</v>
      </c>
      <c r="O77" s="180">
        <f t="shared" si="25"/>
        <v>0</v>
      </c>
      <c r="P77" s="180">
        <f t="shared" si="25"/>
        <v>0</v>
      </c>
      <c r="Q77" s="180" t="e">
        <f t="shared" si="25"/>
        <v>#REF!</v>
      </c>
      <c r="R77" s="182" t="e">
        <f t="shared" ref="R77:R86" si="26">SUM(F77:Q77)</f>
        <v>#REF!</v>
      </c>
    </row>
    <row r="78" spans="1:18" s="175" customFormat="1" ht="11.25" outlineLevel="1">
      <c r="A78" s="214" t="s">
        <v>248</v>
      </c>
      <c r="B78" s="183"/>
      <c r="C78" s="184"/>
      <c r="D78" s="184"/>
      <c r="E78" s="185"/>
      <c r="F78" s="180"/>
      <c r="G78" s="181"/>
      <c r="H78" s="181"/>
      <c r="I78" s="181"/>
      <c r="J78" s="181"/>
      <c r="K78" s="181"/>
      <c r="L78" s="181"/>
      <c r="M78" s="181"/>
      <c r="N78" s="181"/>
      <c r="O78" s="181"/>
      <c r="P78" s="181"/>
      <c r="Q78" s="181"/>
      <c r="R78" s="182">
        <f t="shared" si="26"/>
        <v>0</v>
      </c>
    </row>
    <row r="79" spans="1:18" s="175" customFormat="1" ht="12" outlineLevel="1" thickBot="1">
      <c r="A79" s="215" t="s">
        <v>249</v>
      </c>
      <c r="B79" s="183"/>
      <c r="C79" s="184"/>
      <c r="D79" s="184"/>
      <c r="E79" s="185"/>
      <c r="F79" s="187"/>
      <c r="G79" s="188"/>
      <c r="H79" s="188"/>
      <c r="I79" s="188"/>
      <c r="J79" s="188"/>
      <c r="K79" s="188"/>
      <c r="L79" s="188"/>
      <c r="M79" s="188"/>
      <c r="N79" s="188"/>
      <c r="O79" s="188"/>
      <c r="P79" s="188"/>
      <c r="Q79" s="188"/>
      <c r="R79" s="189">
        <f t="shared" si="26"/>
        <v>0</v>
      </c>
    </row>
    <row r="80" spans="1:18" s="151" customFormat="1" ht="12" outlineLevel="1" thickBot="1">
      <c r="A80" s="216" t="s">
        <v>250</v>
      </c>
      <c r="B80" s="183"/>
      <c r="C80" s="184"/>
      <c r="D80" s="184"/>
      <c r="E80" s="185"/>
      <c r="F80" s="191"/>
      <c r="G80" s="164"/>
      <c r="H80" s="164"/>
      <c r="I80" s="164"/>
      <c r="J80" s="164"/>
      <c r="K80" s="164"/>
      <c r="L80" s="164"/>
      <c r="M80" s="164"/>
      <c r="N80" s="164"/>
      <c r="O80" s="164"/>
      <c r="P80" s="164"/>
      <c r="Q80" s="164"/>
      <c r="R80" s="192">
        <f t="shared" si="26"/>
        <v>0</v>
      </c>
    </row>
    <row r="81" spans="1:18" s="175" customFormat="1" ht="11.25" outlineLevel="1">
      <c r="A81" s="217" t="s">
        <v>251</v>
      </c>
      <c r="B81" s="183"/>
      <c r="C81" s="184"/>
      <c r="D81" s="184"/>
      <c r="E81" s="185"/>
      <c r="F81" s="219"/>
      <c r="G81" s="220"/>
      <c r="H81" s="220"/>
      <c r="I81" s="220"/>
      <c r="J81" s="220"/>
      <c r="K81" s="220"/>
      <c r="L81" s="220"/>
      <c r="M81" s="220"/>
      <c r="N81" s="220"/>
      <c r="O81" s="220"/>
      <c r="P81" s="220"/>
      <c r="Q81" s="220" t="e">
        <f>Q76</f>
        <v>#REF!</v>
      </c>
      <c r="R81" s="196" t="e">
        <f t="shared" si="26"/>
        <v>#REF!</v>
      </c>
    </row>
    <row r="82" spans="1:18" s="175" customFormat="1" ht="11.25" outlineLevel="1">
      <c r="A82" s="218" t="s">
        <v>252</v>
      </c>
      <c r="B82" s="183"/>
      <c r="C82" s="184"/>
      <c r="D82" s="184"/>
      <c r="E82" s="185"/>
      <c r="F82" s="180"/>
      <c r="G82" s="181"/>
      <c r="H82" s="181"/>
      <c r="I82" s="181"/>
      <c r="J82" s="181"/>
      <c r="K82" s="181"/>
      <c r="L82" s="181"/>
      <c r="M82" s="181"/>
      <c r="N82" s="181"/>
      <c r="O82" s="181"/>
      <c r="P82" s="181"/>
      <c r="Q82" s="181"/>
      <c r="R82" s="182">
        <f t="shared" si="26"/>
        <v>0</v>
      </c>
    </row>
    <row r="83" spans="1:18" s="175" customFormat="1" ht="11.25" outlineLevel="1">
      <c r="A83" s="218" t="s">
        <v>253</v>
      </c>
      <c r="B83" s="183"/>
      <c r="C83" s="184"/>
      <c r="D83" s="184"/>
      <c r="E83" s="185"/>
      <c r="F83" s="180"/>
      <c r="G83" s="181"/>
      <c r="H83" s="181"/>
      <c r="I83" s="181"/>
      <c r="J83" s="181"/>
      <c r="K83" s="181"/>
      <c r="L83" s="181"/>
      <c r="M83" s="181"/>
      <c r="N83" s="181"/>
      <c r="O83" s="181"/>
      <c r="P83" s="181"/>
      <c r="Q83" s="181"/>
      <c r="R83" s="182">
        <f t="shared" si="26"/>
        <v>0</v>
      </c>
    </row>
    <row r="84" spans="1:18" s="175" customFormat="1" ht="11.25" outlineLevel="1">
      <c r="A84" s="218" t="s">
        <v>254</v>
      </c>
      <c r="B84" s="183"/>
      <c r="C84" s="184"/>
      <c r="D84" s="184"/>
      <c r="E84" s="185"/>
      <c r="F84" s="180"/>
      <c r="G84" s="181"/>
      <c r="H84" s="181"/>
      <c r="I84" s="181"/>
      <c r="J84" s="181"/>
      <c r="K84" s="181"/>
      <c r="L84" s="181"/>
      <c r="M84" s="181"/>
      <c r="N84" s="181"/>
      <c r="O84" s="181"/>
      <c r="P84" s="181"/>
      <c r="Q84" s="181"/>
      <c r="R84" s="182">
        <f t="shared" si="26"/>
        <v>0</v>
      </c>
    </row>
    <row r="85" spans="1:18" s="175" customFormat="1" ht="11.25" outlineLevel="1">
      <c r="A85" s="218" t="s">
        <v>255</v>
      </c>
      <c r="B85" s="183"/>
      <c r="C85" s="184"/>
      <c r="D85" s="184"/>
      <c r="E85" s="185"/>
      <c r="F85" s="180"/>
      <c r="G85" s="181"/>
      <c r="H85" s="181"/>
      <c r="I85" s="181"/>
      <c r="J85" s="181"/>
      <c r="K85" s="181"/>
      <c r="L85" s="181"/>
      <c r="M85" s="181"/>
      <c r="N85" s="181"/>
      <c r="O85" s="181"/>
      <c r="P85" s="181"/>
      <c r="Q85" s="181"/>
      <c r="R85" s="182">
        <f t="shared" si="26"/>
        <v>0</v>
      </c>
    </row>
    <row r="86" spans="1:18" s="175" customFormat="1" ht="11.25" outlineLevel="1">
      <c r="A86" s="221" t="s">
        <v>256</v>
      </c>
      <c r="B86" s="201"/>
      <c r="C86" s="202"/>
      <c r="D86" s="202"/>
      <c r="E86" s="203"/>
      <c r="F86" s="204" t="e">
        <f t="shared" ref="F86:Q86" si="27">(F76+G76)/2*F$3</f>
        <v>#REF!</v>
      </c>
      <c r="G86" s="204" t="e">
        <f t="shared" si="27"/>
        <v>#REF!</v>
      </c>
      <c r="H86" s="204" t="e">
        <f t="shared" si="27"/>
        <v>#REF!</v>
      </c>
      <c r="I86" s="204" t="e">
        <f t="shared" si="27"/>
        <v>#REF!</v>
      </c>
      <c r="J86" s="204" t="e">
        <f t="shared" si="27"/>
        <v>#REF!</v>
      </c>
      <c r="K86" s="204" t="e">
        <f t="shared" si="27"/>
        <v>#REF!</v>
      </c>
      <c r="L86" s="204" t="e">
        <f t="shared" si="27"/>
        <v>#REF!</v>
      </c>
      <c r="M86" s="204" t="e">
        <f t="shared" si="27"/>
        <v>#REF!</v>
      </c>
      <c r="N86" s="204" t="e">
        <f t="shared" si="27"/>
        <v>#REF!</v>
      </c>
      <c r="O86" s="204" t="e">
        <f t="shared" si="27"/>
        <v>#REF!</v>
      </c>
      <c r="P86" s="204" t="e">
        <f t="shared" si="27"/>
        <v>#REF!</v>
      </c>
      <c r="Q86" s="204" t="e">
        <f t="shared" si="27"/>
        <v>#REF!</v>
      </c>
      <c r="R86" s="205" t="e">
        <f t="shared" si="26"/>
        <v>#REF!</v>
      </c>
    </row>
    <row r="87" spans="1:18" s="175" customFormat="1" ht="12" outlineLevel="1" thickBot="1">
      <c r="A87" s="206" t="s">
        <v>257</v>
      </c>
      <c r="B87" s="207"/>
      <c r="C87" s="207"/>
      <c r="D87" s="208"/>
      <c r="E87" s="207"/>
      <c r="F87" s="209" t="e">
        <f t="shared" ref="F87:R87" si="28">F86/F$3</f>
        <v>#REF!</v>
      </c>
      <c r="G87" s="210" t="e">
        <f t="shared" si="28"/>
        <v>#REF!</v>
      </c>
      <c r="H87" s="210" t="e">
        <f t="shared" si="28"/>
        <v>#REF!</v>
      </c>
      <c r="I87" s="210" t="e">
        <f t="shared" si="28"/>
        <v>#REF!</v>
      </c>
      <c r="J87" s="210" t="e">
        <f t="shared" si="28"/>
        <v>#REF!</v>
      </c>
      <c r="K87" s="210" t="e">
        <f t="shared" si="28"/>
        <v>#REF!</v>
      </c>
      <c r="L87" s="210" t="e">
        <f t="shared" si="28"/>
        <v>#REF!</v>
      </c>
      <c r="M87" s="210" t="e">
        <f t="shared" si="28"/>
        <v>#REF!</v>
      </c>
      <c r="N87" s="210" t="e">
        <f t="shared" si="28"/>
        <v>#REF!</v>
      </c>
      <c r="O87" s="210" t="e">
        <f t="shared" si="28"/>
        <v>#REF!</v>
      </c>
      <c r="P87" s="210" t="e">
        <f t="shared" si="28"/>
        <v>#REF!</v>
      </c>
      <c r="Q87" s="210" t="e">
        <f t="shared" si="28"/>
        <v>#REF!</v>
      </c>
      <c r="R87" s="211" t="e">
        <f t="shared" si="28"/>
        <v>#REF!</v>
      </c>
    </row>
    <row r="88" spans="1:18" s="151" customFormat="1" ht="12" thickBot="1">
      <c r="A88" s="160" t="s">
        <v>265</v>
      </c>
      <c r="B88" s="161"/>
      <c r="C88" s="161"/>
      <c r="D88" s="161"/>
      <c r="E88" s="161"/>
      <c r="F88" s="161"/>
      <c r="G88" s="161"/>
      <c r="H88" s="161"/>
      <c r="I88" s="161"/>
      <c r="J88" s="161"/>
      <c r="K88" s="161"/>
      <c r="L88" s="161"/>
      <c r="M88" s="161"/>
      <c r="N88" s="161"/>
      <c r="O88" s="161"/>
      <c r="P88" s="161"/>
      <c r="Q88" s="161"/>
      <c r="R88" s="162"/>
    </row>
    <row r="89" spans="1:18" s="151" customFormat="1" ht="12" outlineLevel="1" thickBot="1">
      <c r="A89" s="163" t="s">
        <v>245</v>
      </c>
      <c r="B89" s="164"/>
      <c r="C89" s="164"/>
      <c r="D89" s="165"/>
      <c r="E89" s="166"/>
      <c r="F89" s="164"/>
      <c r="G89" s="164"/>
      <c r="H89" s="164"/>
      <c r="I89" s="164"/>
      <c r="J89" s="164"/>
      <c r="K89" s="164"/>
      <c r="L89" s="164"/>
      <c r="M89" s="164"/>
      <c r="N89" s="164"/>
      <c r="O89" s="164"/>
      <c r="P89" s="164"/>
      <c r="Q89" s="164"/>
      <c r="R89" s="167"/>
    </row>
    <row r="90" spans="1:18" s="175" customFormat="1" ht="11.25" outlineLevel="1">
      <c r="A90" s="168" t="s">
        <v>259</v>
      </c>
      <c r="B90" s="212" t="e">
        <f>+'КРМД-22'!R90</f>
        <v>#REF!</v>
      </c>
      <c r="C90" s="212"/>
      <c r="D90" s="213" t="e">
        <f>B90*0.265</f>
        <v>#REF!</v>
      </c>
      <c r="E90" s="171" t="e">
        <f>+D90*270</f>
        <v>#REF!</v>
      </c>
      <c r="F90" s="172" t="e">
        <f>B90</f>
        <v>#REF!</v>
      </c>
      <c r="G90" s="173" t="e">
        <f t="shared" ref="G90:R90" si="29">(F90+F91+F92+F93-F95-F96-F97-F98-F99)</f>
        <v>#REF!</v>
      </c>
      <c r="H90" s="173" t="e">
        <f t="shared" si="29"/>
        <v>#REF!</v>
      </c>
      <c r="I90" s="173" t="e">
        <f t="shared" si="29"/>
        <v>#REF!</v>
      </c>
      <c r="J90" s="173" t="e">
        <f t="shared" si="29"/>
        <v>#REF!</v>
      </c>
      <c r="K90" s="173" t="e">
        <f t="shared" si="29"/>
        <v>#REF!</v>
      </c>
      <c r="L90" s="173" t="e">
        <f t="shared" si="29"/>
        <v>#REF!</v>
      </c>
      <c r="M90" s="173" t="e">
        <f t="shared" si="29"/>
        <v>#REF!</v>
      </c>
      <c r="N90" s="173" t="e">
        <f t="shared" si="29"/>
        <v>#REF!</v>
      </c>
      <c r="O90" s="173" t="e">
        <f t="shared" si="29"/>
        <v>#REF!</v>
      </c>
      <c r="P90" s="173" t="e">
        <f t="shared" si="29"/>
        <v>#REF!</v>
      </c>
      <c r="Q90" s="173" t="e">
        <f t="shared" si="29"/>
        <v>#REF!</v>
      </c>
      <c r="R90" s="174" t="e">
        <f t="shared" si="29"/>
        <v>#REF!</v>
      </c>
    </row>
    <row r="91" spans="1:18" s="175" customFormat="1" ht="11.25" outlineLevel="1">
      <c r="A91" s="214" t="s">
        <v>247</v>
      </c>
      <c r="B91" s="177"/>
      <c r="C91" s="178"/>
      <c r="D91" s="178"/>
      <c r="E91" s="179"/>
      <c r="F91" s="180">
        <f>F109</f>
        <v>0</v>
      </c>
      <c r="G91" s="180">
        <f>G109</f>
        <v>0</v>
      </c>
      <c r="H91" s="180">
        <f t="shared" ref="H91:Q91" si="30">H109</f>
        <v>0</v>
      </c>
      <c r="I91" s="180">
        <f t="shared" si="30"/>
        <v>0</v>
      </c>
      <c r="J91" s="180">
        <f t="shared" si="30"/>
        <v>0</v>
      </c>
      <c r="K91" s="180">
        <f t="shared" si="30"/>
        <v>0</v>
      </c>
      <c r="L91" s="180">
        <f t="shared" si="30"/>
        <v>0</v>
      </c>
      <c r="M91" s="180">
        <f t="shared" si="30"/>
        <v>0</v>
      </c>
      <c r="N91" s="180">
        <f t="shared" si="30"/>
        <v>0</v>
      </c>
      <c r="O91" s="180">
        <f t="shared" si="30"/>
        <v>0</v>
      </c>
      <c r="P91" s="180">
        <f t="shared" si="30"/>
        <v>0</v>
      </c>
      <c r="Q91" s="180" t="e">
        <f t="shared" si="30"/>
        <v>#REF!</v>
      </c>
      <c r="R91" s="182" t="e">
        <f t="shared" ref="R91:R100" si="31">SUM(F91:Q91)</f>
        <v>#REF!</v>
      </c>
    </row>
    <row r="92" spans="1:18" s="175" customFormat="1" ht="11.25" outlineLevel="1">
      <c r="A92" s="214" t="s">
        <v>248</v>
      </c>
      <c r="B92" s="183"/>
      <c r="C92" s="184"/>
      <c r="D92" s="184"/>
      <c r="E92" s="185"/>
      <c r="F92" s="180"/>
      <c r="G92" s="181"/>
      <c r="H92" s="181"/>
      <c r="I92" s="181"/>
      <c r="J92" s="181"/>
      <c r="K92" s="181"/>
      <c r="L92" s="181"/>
      <c r="M92" s="181"/>
      <c r="N92" s="181"/>
      <c r="O92" s="181"/>
      <c r="P92" s="181"/>
      <c r="Q92" s="181"/>
      <c r="R92" s="182">
        <f t="shared" si="31"/>
        <v>0</v>
      </c>
    </row>
    <row r="93" spans="1:18" s="175" customFormat="1" ht="12" outlineLevel="1" thickBot="1">
      <c r="A93" s="215" t="s">
        <v>249</v>
      </c>
      <c r="B93" s="183"/>
      <c r="C93" s="184"/>
      <c r="D93" s="184"/>
      <c r="E93" s="185"/>
      <c r="F93" s="187"/>
      <c r="G93" s="188"/>
      <c r="H93" s="188"/>
      <c r="I93" s="188"/>
      <c r="J93" s="188"/>
      <c r="K93" s="188"/>
      <c r="L93" s="188"/>
      <c r="M93" s="188"/>
      <c r="N93" s="188"/>
      <c r="O93" s="188"/>
      <c r="P93" s="188"/>
      <c r="Q93" s="188"/>
      <c r="R93" s="189">
        <f t="shared" si="31"/>
        <v>0</v>
      </c>
    </row>
    <row r="94" spans="1:18" s="151" customFormat="1" ht="12" outlineLevel="1" thickBot="1">
      <c r="A94" s="216" t="s">
        <v>250</v>
      </c>
      <c r="B94" s="183"/>
      <c r="C94" s="184"/>
      <c r="D94" s="184"/>
      <c r="E94" s="185"/>
      <c r="F94" s="191"/>
      <c r="G94" s="164"/>
      <c r="H94" s="164"/>
      <c r="I94" s="164"/>
      <c r="J94" s="164"/>
      <c r="K94" s="164"/>
      <c r="L94" s="164"/>
      <c r="M94" s="164"/>
      <c r="N94" s="164"/>
      <c r="O94" s="164"/>
      <c r="P94" s="164"/>
      <c r="Q94" s="164"/>
      <c r="R94" s="192">
        <f t="shared" si="31"/>
        <v>0</v>
      </c>
    </row>
    <row r="95" spans="1:18" s="175" customFormat="1" ht="11.25" outlineLevel="1">
      <c r="A95" s="217" t="s">
        <v>251</v>
      </c>
      <c r="B95" s="183"/>
      <c r="C95" s="184"/>
      <c r="D95" s="184"/>
      <c r="E95" s="185"/>
      <c r="F95" s="219"/>
      <c r="G95" s="220"/>
      <c r="H95" s="220"/>
      <c r="I95" s="220"/>
      <c r="J95" s="220"/>
      <c r="K95" s="220"/>
      <c r="L95" s="220"/>
      <c r="M95" s="220"/>
      <c r="N95" s="220"/>
      <c r="O95" s="220"/>
      <c r="P95" s="220"/>
      <c r="Q95" s="220" t="e">
        <f>Q90</f>
        <v>#REF!</v>
      </c>
      <c r="R95" s="196" t="e">
        <f t="shared" si="31"/>
        <v>#REF!</v>
      </c>
    </row>
    <row r="96" spans="1:18" s="175" customFormat="1" ht="11.25" outlineLevel="1">
      <c r="A96" s="218" t="s">
        <v>252</v>
      </c>
      <c r="B96" s="183"/>
      <c r="C96" s="184"/>
      <c r="D96" s="184"/>
      <c r="E96" s="185"/>
      <c r="F96" s="180"/>
      <c r="G96" s="181"/>
      <c r="H96" s="181"/>
      <c r="I96" s="181"/>
      <c r="J96" s="181"/>
      <c r="K96" s="181"/>
      <c r="L96" s="181"/>
      <c r="M96" s="181"/>
      <c r="N96" s="181"/>
      <c r="O96" s="181"/>
      <c r="P96" s="181"/>
      <c r="Q96" s="181"/>
      <c r="R96" s="182">
        <f t="shared" si="31"/>
        <v>0</v>
      </c>
    </row>
    <row r="97" spans="1:18" s="175" customFormat="1" ht="11.25" outlineLevel="1">
      <c r="A97" s="218" t="s">
        <v>253</v>
      </c>
      <c r="B97" s="183"/>
      <c r="C97" s="184"/>
      <c r="D97" s="184"/>
      <c r="E97" s="185"/>
      <c r="F97" s="180"/>
      <c r="G97" s="181"/>
      <c r="H97" s="181"/>
      <c r="I97" s="181"/>
      <c r="J97" s="181"/>
      <c r="K97" s="181"/>
      <c r="L97" s="181"/>
      <c r="M97" s="181"/>
      <c r="N97" s="181"/>
      <c r="O97" s="181"/>
      <c r="P97" s="181"/>
      <c r="Q97" s="181"/>
      <c r="R97" s="182">
        <f t="shared" si="31"/>
        <v>0</v>
      </c>
    </row>
    <row r="98" spans="1:18" s="175" customFormat="1" ht="11.25" outlineLevel="1">
      <c r="A98" s="218" t="s">
        <v>254</v>
      </c>
      <c r="B98" s="183"/>
      <c r="C98" s="184"/>
      <c r="D98" s="184"/>
      <c r="E98" s="185"/>
      <c r="F98" s="180"/>
      <c r="G98" s="181"/>
      <c r="H98" s="181"/>
      <c r="I98" s="181"/>
      <c r="J98" s="181"/>
      <c r="K98" s="181"/>
      <c r="L98" s="181"/>
      <c r="M98" s="181"/>
      <c r="N98" s="181"/>
      <c r="O98" s="181"/>
      <c r="P98" s="181"/>
      <c r="Q98" s="181"/>
      <c r="R98" s="182">
        <f t="shared" si="31"/>
        <v>0</v>
      </c>
    </row>
    <row r="99" spans="1:18" s="175" customFormat="1" ht="11.25" outlineLevel="1">
      <c r="A99" s="218" t="s">
        <v>255</v>
      </c>
      <c r="B99" s="183"/>
      <c r="C99" s="184"/>
      <c r="D99" s="184"/>
      <c r="E99" s="185"/>
      <c r="F99" s="180"/>
      <c r="G99" s="181"/>
      <c r="H99" s="181"/>
      <c r="I99" s="181"/>
      <c r="J99" s="181"/>
      <c r="K99" s="181"/>
      <c r="L99" s="181"/>
      <c r="M99" s="181"/>
      <c r="N99" s="181"/>
      <c r="O99" s="181"/>
      <c r="P99" s="181"/>
      <c r="Q99" s="181"/>
      <c r="R99" s="182">
        <f t="shared" si="31"/>
        <v>0</v>
      </c>
    </row>
    <row r="100" spans="1:18" s="175" customFormat="1" ht="11.25" outlineLevel="1">
      <c r="A100" s="221" t="s">
        <v>256</v>
      </c>
      <c r="B100" s="201"/>
      <c r="C100" s="202"/>
      <c r="D100" s="202"/>
      <c r="E100" s="203"/>
      <c r="F100" s="204" t="e">
        <f t="shared" ref="F100:Q100" si="32">(F90+G90)/2*F$3</f>
        <v>#REF!</v>
      </c>
      <c r="G100" s="204" t="e">
        <f t="shared" si="32"/>
        <v>#REF!</v>
      </c>
      <c r="H100" s="204" t="e">
        <f t="shared" si="32"/>
        <v>#REF!</v>
      </c>
      <c r="I100" s="204" t="e">
        <f t="shared" si="32"/>
        <v>#REF!</v>
      </c>
      <c r="J100" s="204" t="e">
        <f t="shared" si="32"/>
        <v>#REF!</v>
      </c>
      <c r="K100" s="204" t="e">
        <f t="shared" si="32"/>
        <v>#REF!</v>
      </c>
      <c r="L100" s="204" t="e">
        <f t="shared" si="32"/>
        <v>#REF!</v>
      </c>
      <c r="M100" s="204" t="e">
        <f t="shared" si="32"/>
        <v>#REF!</v>
      </c>
      <c r="N100" s="204" t="e">
        <f t="shared" si="32"/>
        <v>#REF!</v>
      </c>
      <c r="O100" s="204" t="e">
        <f t="shared" si="32"/>
        <v>#REF!</v>
      </c>
      <c r="P100" s="204" t="e">
        <f t="shared" si="32"/>
        <v>#REF!</v>
      </c>
      <c r="Q100" s="204" t="e">
        <f t="shared" si="32"/>
        <v>#REF!</v>
      </c>
      <c r="R100" s="205" t="e">
        <f t="shared" si="31"/>
        <v>#REF!</v>
      </c>
    </row>
    <row r="101" spans="1:18" s="175" customFormat="1" ht="12" outlineLevel="1" thickBot="1">
      <c r="A101" s="206" t="s">
        <v>257</v>
      </c>
      <c r="B101" s="207"/>
      <c r="C101" s="207"/>
      <c r="D101" s="208"/>
      <c r="E101" s="207"/>
      <c r="F101" s="209" t="e">
        <f t="shared" ref="F101:R101" si="33">F100/F$3</f>
        <v>#REF!</v>
      </c>
      <c r="G101" s="210" t="e">
        <f t="shared" si="33"/>
        <v>#REF!</v>
      </c>
      <c r="H101" s="210" t="e">
        <f t="shared" si="33"/>
        <v>#REF!</v>
      </c>
      <c r="I101" s="210" t="e">
        <f t="shared" si="33"/>
        <v>#REF!</v>
      </c>
      <c r="J101" s="210" t="e">
        <f t="shared" si="33"/>
        <v>#REF!</v>
      </c>
      <c r="K101" s="210" t="e">
        <f t="shared" si="33"/>
        <v>#REF!</v>
      </c>
      <c r="L101" s="210" t="e">
        <f t="shared" si="33"/>
        <v>#REF!</v>
      </c>
      <c r="M101" s="210" t="e">
        <f t="shared" si="33"/>
        <v>#REF!</v>
      </c>
      <c r="N101" s="210" t="e">
        <f t="shared" si="33"/>
        <v>#REF!</v>
      </c>
      <c r="O101" s="210" t="e">
        <f t="shared" si="33"/>
        <v>#REF!</v>
      </c>
      <c r="P101" s="210" t="e">
        <f t="shared" si="33"/>
        <v>#REF!</v>
      </c>
      <c r="Q101" s="210" t="e">
        <f t="shared" si="33"/>
        <v>#REF!</v>
      </c>
      <c r="R101" s="211" t="e">
        <f t="shared" si="33"/>
        <v>#REF!</v>
      </c>
    </row>
    <row r="102" spans="1:18" s="151" customFormat="1" ht="12" thickBot="1">
      <c r="A102" s="160" t="s">
        <v>266</v>
      </c>
      <c r="B102" s="161"/>
      <c r="C102" s="161"/>
      <c r="D102" s="161"/>
      <c r="E102" s="161"/>
      <c r="F102" s="161"/>
      <c r="G102" s="161"/>
      <c r="H102" s="161"/>
      <c r="I102" s="161"/>
      <c r="J102" s="161"/>
      <c r="K102" s="161"/>
      <c r="L102" s="161"/>
      <c r="M102" s="161"/>
      <c r="N102" s="161"/>
      <c r="O102" s="161"/>
      <c r="P102" s="161"/>
      <c r="Q102" s="161"/>
      <c r="R102" s="162"/>
    </row>
    <row r="103" spans="1:18" s="151" customFormat="1" ht="12" outlineLevel="1" thickBot="1">
      <c r="A103" s="163" t="s">
        <v>245</v>
      </c>
      <c r="B103" s="164"/>
      <c r="C103" s="164"/>
      <c r="D103" s="165"/>
      <c r="E103" s="166"/>
      <c r="F103" s="164"/>
      <c r="G103" s="164"/>
      <c r="H103" s="164"/>
      <c r="I103" s="164"/>
      <c r="J103" s="164"/>
      <c r="K103" s="164"/>
      <c r="L103" s="164"/>
      <c r="M103" s="164"/>
      <c r="N103" s="164"/>
      <c r="O103" s="164"/>
      <c r="P103" s="164"/>
      <c r="Q103" s="164"/>
      <c r="R103" s="167"/>
    </row>
    <row r="104" spans="1:18" s="175" customFormat="1" ht="11.25" outlineLevel="1">
      <c r="A104" s="168" t="s">
        <v>259</v>
      </c>
      <c r="B104" s="212" t="e">
        <f>+'КРМД-22'!R104</f>
        <v>#REF!</v>
      </c>
      <c r="C104" s="212"/>
      <c r="D104" s="213" t="e">
        <f>B104*0.07</f>
        <v>#REF!</v>
      </c>
      <c r="E104" s="171" t="e">
        <f>+D104*270</f>
        <v>#REF!</v>
      </c>
      <c r="F104" s="172" t="e">
        <f>B104</f>
        <v>#REF!</v>
      </c>
      <c r="G104" s="173" t="e">
        <f t="shared" ref="G104:R104" si="34">(F104+F105+F106+F107-F109-F110-F111-F112-F113)</f>
        <v>#REF!</v>
      </c>
      <c r="H104" s="173" t="e">
        <f t="shared" si="34"/>
        <v>#REF!</v>
      </c>
      <c r="I104" s="173" t="e">
        <f t="shared" si="34"/>
        <v>#REF!</v>
      </c>
      <c r="J104" s="173" t="e">
        <f t="shared" si="34"/>
        <v>#REF!</v>
      </c>
      <c r="K104" s="173" t="e">
        <f t="shared" si="34"/>
        <v>#REF!</v>
      </c>
      <c r="L104" s="173" t="e">
        <f t="shared" si="34"/>
        <v>#REF!</v>
      </c>
      <c r="M104" s="173" t="e">
        <f t="shared" si="34"/>
        <v>#REF!</v>
      </c>
      <c r="N104" s="173" t="e">
        <f t="shared" si="34"/>
        <v>#REF!</v>
      </c>
      <c r="O104" s="173" t="e">
        <f t="shared" si="34"/>
        <v>#REF!</v>
      </c>
      <c r="P104" s="173" t="e">
        <f t="shared" si="34"/>
        <v>#REF!</v>
      </c>
      <c r="Q104" s="173" t="e">
        <f t="shared" si="34"/>
        <v>#REF!</v>
      </c>
      <c r="R104" s="174" t="e">
        <f t="shared" si="34"/>
        <v>#REF!</v>
      </c>
    </row>
    <row r="105" spans="1:18" s="175" customFormat="1" ht="11.25" outlineLevel="1">
      <c r="A105" s="214" t="s">
        <v>247</v>
      </c>
      <c r="B105" s="177"/>
      <c r="C105" s="178"/>
      <c r="D105" s="178"/>
      <c r="E105" s="179"/>
      <c r="F105" s="180">
        <f t="shared" ref="F105:Q105" si="35">F165</f>
        <v>0</v>
      </c>
      <c r="G105" s="180">
        <f t="shared" si="35"/>
        <v>0</v>
      </c>
      <c r="H105" s="180">
        <f t="shared" si="35"/>
        <v>0</v>
      </c>
      <c r="I105" s="180">
        <f t="shared" si="35"/>
        <v>0</v>
      </c>
      <c r="J105" s="180">
        <f t="shared" si="35"/>
        <v>0</v>
      </c>
      <c r="K105" s="180">
        <f t="shared" si="35"/>
        <v>0</v>
      </c>
      <c r="L105" s="180">
        <f t="shared" si="35"/>
        <v>0</v>
      </c>
      <c r="M105" s="180">
        <f t="shared" si="35"/>
        <v>0</v>
      </c>
      <c r="N105" s="180">
        <f t="shared" si="35"/>
        <v>0</v>
      </c>
      <c r="O105" s="180">
        <f t="shared" si="35"/>
        <v>0</v>
      </c>
      <c r="P105" s="180">
        <f t="shared" si="35"/>
        <v>0</v>
      </c>
      <c r="Q105" s="180" t="e">
        <f t="shared" si="35"/>
        <v>#REF!</v>
      </c>
      <c r="R105" s="182" t="e">
        <f t="shared" ref="R105:R114" si="36">SUM(F105:Q105)</f>
        <v>#REF!</v>
      </c>
    </row>
    <row r="106" spans="1:18" s="175" customFormat="1" ht="11.25" outlineLevel="1">
      <c r="A106" s="214" t="s">
        <v>248</v>
      </c>
      <c r="B106" s="183"/>
      <c r="C106" s="184"/>
      <c r="D106" s="184"/>
      <c r="E106" s="185"/>
      <c r="F106" s="180"/>
      <c r="G106" s="181"/>
      <c r="H106" s="181"/>
      <c r="I106" s="181"/>
      <c r="J106" s="181"/>
      <c r="K106" s="181"/>
      <c r="L106" s="181"/>
      <c r="M106" s="181"/>
      <c r="N106" s="181"/>
      <c r="O106" s="181"/>
      <c r="P106" s="181"/>
      <c r="Q106" s="181"/>
      <c r="R106" s="182">
        <f t="shared" si="36"/>
        <v>0</v>
      </c>
    </row>
    <row r="107" spans="1:18" s="175" customFormat="1" ht="12" outlineLevel="1" thickBot="1">
      <c r="A107" s="215" t="s">
        <v>249</v>
      </c>
      <c r="B107" s="183"/>
      <c r="C107" s="184"/>
      <c r="D107" s="184"/>
      <c r="E107" s="185"/>
      <c r="F107" s="187"/>
      <c r="G107" s="188"/>
      <c r="H107" s="188"/>
      <c r="I107" s="188"/>
      <c r="J107" s="188"/>
      <c r="K107" s="188"/>
      <c r="L107" s="188"/>
      <c r="M107" s="188"/>
      <c r="N107" s="188"/>
      <c r="O107" s="188"/>
      <c r="P107" s="188"/>
      <c r="Q107" s="188"/>
      <c r="R107" s="189">
        <f t="shared" si="36"/>
        <v>0</v>
      </c>
    </row>
    <row r="108" spans="1:18" s="151" customFormat="1" ht="12" outlineLevel="1" thickBot="1">
      <c r="A108" s="216" t="s">
        <v>250</v>
      </c>
      <c r="B108" s="183"/>
      <c r="C108" s="184"/>
      <c r="D108" s="184"/>
      <c r="E108" s="185"/>
      <c r="F108" s="191"/>
      <c r="G108" s="164"/>
      <c r="H108" s="164"/>
      <c r="I108" s="164"/>
      <c r="J108" s="164"/>
      <c r="K108" s="164"/>
      <c r="L108" s="164"/>
      <c r="M108" s="164"/>
      <c r="N108" s="164"/>
      <c r="O108" s="164"/>
      <c r="P108" s="164"/>
      <c r="Q108" s="164"/>
      <c r="R108" s="192">
        <f t="shared" si="36"/>
        <v>0</v>
      </c>
    </row>
    <row r="109" spans="1:18" s="175" customFormat="1" ht="11.25" outlineLevel="1">
      <c r="A109" s="217" t="s">
        <v>251</v>
      </c>
      <c r="B109" s="183"/>
      <c r="C109" s="184"/>
      <c r="D109" s="184"/>
      <c r="E109" s="185"/>
      <c r="F109" s="219"/>
      <c r="G109" s="220"/>
      <c r="H109" s="220"/>
      <c r="I109" s="220"/>
      <c r="J109" s="220"/>
      <c r="K109" s="220"/>
      <c r="L109" s="220"/>
      <c r="M109" s="220"/>
      <c r="N109" s="220"/>
      <c r="O109" s="220"/>
      <c r="P109" s="220"/>
      <c r="Q109" s="220" t="e">
        <f>Q104</f>
        <v>#REF!</v>
      </c>
      <c r="R109" s="196" t="e">
        <f t="shared" si="36"/>
        <v>#REF!</v>
      </c>
    </row>
    <row r="110" spans="1:18" s="175" customFormat="1" ht="22.5" customHeight="1" outlineLevel="1">
      <c r="A110" s="218" t="s">
        <v>252</v>
      </c>
      <c r="B110" s="183"/>
      <c r="C110" s="184"/>
      <c r="D110" s="184"/>
      <c r="E110" s="185"/>
      <c r="F110" s="180"/>
      <c r="G110" s="181"/>
      <c r="H110" s="181"/>
      <c r="I110" s="181"/>
      <c r="J110" s="181"/>
      <c r="K110" s="181"/>
      <c r="L110" s="181"/>
      <c r="M110" s="181"/>
      <c r="N110" s="181"/>
      <c r="O110" s="181"/>
      <c r="P110" s="181"/>
      <c r="Q110" s="181"/>
      <c r="R110" s="182">
        <f t="shared" si="36"/>
        <v>0</v>
      </c>
    </row>
    <row r="111" spans="1:18" s="175" customFormat="1" ht="11.25" outlineLevel="1">
      <c r="A111" s="218" t="s">
        <v>253</v>
      </c>
      <c r="B111" s="183"/>
      <c r="C111" s="184"/>
      <c r="D111" s="184"/>
      <c r="E111" s="185"/>
      <c r="F111" s="180"/>
      <c r="G111" s="181"/>
      <c r="H111" s="181"/>
      <c r="I111" s="181"/>
      <c r="J111" s="181"/>
      <c r="K111" s="181"/>
      <c r="L111" s="181"/>
      <c r="M111" s="181"/>
      <c r="N111" s="181"/>
      <c r="O111" s="181"/>
      <c r="P111" s="181"/>
      <c r="Q111" s="181"/>
      <c r="R111" s="182">
        <f t="shared" si="36"/>
        <v>0</v>
      </c>
    </row>
    <row r="112" spans="1:18" s="175" customFormat="1" ht="11.25" outlineLevel="1">
      <c r="A112" s="218" t="s">
        <v>254</v>
      </c>
      <c r="B112" s="183"/>
      <c r="C112" s="184"/>
      <c r="D112" s="184"/>
      <c r="E112" s="185"/>
      <c r="F112" s="180"/>
      <c r="G112" s="181"/>
      <c r="H112" s="181"/>
      <c r="I112" s="181"/>
      <c r="J112" s="181"/>
      <c r="K112" s="181"/>
      <c r="L112" s="181"/>
      <c r="M112" s="181"/>
      <c r="N112" s="181"/>
      <c r="O112" s="181"/>
      <c r="P112" s="181"/>
      <c r="Q112" s="181"/>
      <c r="R112" s="182">
        <f t="shared" si="36"/>
        <v>0</v>
      </c>
    </row>
    <row r="113" spans="1:18" s="175" customFormat="1" ht="11.25" outlineLevel="1">
      <c r="A113" s="218" t="s">
        <v>255</v>
      </c>
      <c r="B113" s="183"/>
      <c r="C113" s="184"/>
      <c r="D113" s="184"/>
      <c r="E113" s="185"/>
      <c r="F113" s="180"/>
      <c r="G113" s="181"/>
      <c r="H113" s="181"/>
      <c r="I113" s="181"/>
      <c r="J113" s="181"/>
      <c r="K113" s="181"/>
      <c r="L113" s="181"/>
      <c r="M113" s="181"/>
      <c r="N113" s="181"/>
      <c r="O113" s="181"/>
      <c r="P113" s="181"/>
      <c r="Q113" s="181"/>
      <c r="R113" s="182">
        <f t="shared" si="36"/>
        <v>0</v>
      </c>
    </row>
    <row r="114" spans="1:18" s="175" customFormat="1" ht="11.25" outlineLevel="1">
      <c r="A114" s="221" t="s">
        <v>256</v>
      </c>
      <c r="B114" s="201"/>
      <c r="C114" s="202"/>
      <c r="D114" s="202"/>
      <c r="E114" s="203"/>
      <c r="F114" s="204" t="e">
        <f t="shared" ref="F114:Q114" si="37">(F104+G104)/2*F$3</f>
        <v>#REF!</v>
      </c>
      <c r="G114" s="204" t="e">
        <f t="shared" si="37"/>
        <v>#REF!</v>
      </c>
      <c r="H114" s="204" t="e">
        <f t="shared" si="37"/>
        <v>#REF!</v>
      </c>
      <c r="I114" s="204" t="e">
        <f t="shared" si="37"/>
        <v>#REF!</v>
      </c>
      <c r="J114" s="204" t="e">
        <f t="shared" si="37"/>
        <v>#REF!</v>
      </c>
      <c r="K114" s="204" t="e">
        <f t="shared" si="37"/>
        <v>#REF!</v>
      </c>
      <c r="L114" s="204" t="e">
        <f t="shared" si="37"/>
        <v>#REF!</v>
      </c>
      <c r="M114" s="204" t="e">
        <f t="shared" si="37"/>
        <v>#REF!</v>
      </c>
      <c r="N114" s="204" t="e">
        <f t="shared" si="37"/>
        <v>#REF!</v>
      </c>
      <c r="O114" s="204" t="e">
        <f t="shared" si="37"/>
        <v>#REF!</v>
      </c>
      <c r="P114" s="204" t="e">
        <f t="shared" si="37"/>
        <v>#REF!</v>
      </c>
      <c r="Q114" s="204" t="e">
        <f t="shared" si="37"/>
        <v>#REF!</v>
      </c>
      <c r="R114" s="205" t="e">
        <f t="shared" si="36"/>
        <v>#REF!</v>
      </c>
    </row>
    <row r="115" spans="1:18" s="175" customFormat="1" ht="12" outlineLevel="1" thickBot="1">
      <c r="A115" s="206" t="s">
        <v>257</v>
      </c>
      <c r="B115" s="207"/>
      <c r="C115" s="207"/>
      <c r="D115" s="208"/>
      <c r="E115" s="207"/>
      <c r="F115" s="209" t="e">
        <f t="shared" ref="F115:R115" si="38">F114/F$3</f>
        <v>#REF!</v>
      </c>
      <c r="G115" s="210" t="e">
        <f t="shared" si="38"/>
        <v>#REF!</v>
      </c>
      <c r="H115" s="210" t="e">
        <f t="shared" si="38"/>
        <v>#REF!</v>
      </c>
      <c r="I115" s="210" t="e">
        <f t="shared" si="38"/>
        <v>#REF!</v>
      </c>
      <c r="J115" s="210" t="e">
        <f t="shared" si="38"/>
        <v>#REF!</v>
      </c>
      <c r="K115" s="210" t="e">
        <f t="shared" si="38"/>
        <v>#REF!</v>
      </c>
      <c r="L115" s="210" t="e">
        <f t="shared" si="38"/>
        <v>#REF!</v>
      </c>
      <c r="M115" s="210" t="e">
        <f t="shared" si="38"/>
        <v>#REF!</v>
      </c>
      <c r="N115" s="210" t="e">
        <f t="shared" si="38"/>
        <v>#REF!</v>
      </c>
      <c r="O115" s="210" t="e">
        <f t="shared" si="38"/>
        <v>#REF!</v>
      </c>
      <c r="P115" s="210" t="e">
        <f t="shared" si="38"/>
        <v>#REF!</v>
      </c>
      <c r="Q115" s="210" t="e">
        <f t="shared" si="38"/>
        <v>#REF!</v>
      </c>
      <c r="R115" s="211" t="e">
        <f t="shared" si="38"/>
        <v>#REF!</v>
      </c>
    </row>
    <row r="116" spans="1:18" s="151" customFormat="1" ht="12" thickBot="1">
      <c r="A116" s="160" t="s">
        <v>267</v>
      </c>
      <c r="B116" s="161"/>
      <c r="C116" s="161"/>
      <c r="D116" s="161"/>
      <c r="E116" s="161"/>
      <c r="F116" s="161"/>
      <c r="G116" s="161"/>
      <c r="H116" s="161"/>
      <c r="I116" s="161"/>
      <c r="J116" s="161"/>
      <c r="K116" s="161"/>
      <c r="L116" s="161"/>
      <c r="M116" s="161"/>
      <c r="N116" s="161"/>
      <c r="O116" s="161"/>
      <c r="P116" s="161"/>
      <c r="Q116" s="161"/>
      <c r="R116" s="162"/>
    </row>
    <row r="117" spans="1:18" s="151" customFormat="1" ht="12" outlineLevel="1" thickBot="1">
      <c r="A117" s="163" t="s">
        <v>245</v>
      </c>
      <c r="B117" s="164"/>
      <c r="C117" s="164"/>
      <c r="D117" s="165"/>
      <c r="E117" s="166"/>
      <c r="F117" s="164"/>
      <c r="G117" s="164"/>
      <c r="H117" s="164"/>
      <c r="I117" s="164"/>
      <c r="J117" s="164"/>
      <c r="K117" s="164"/>
      <c r="L117" s="164"/>
      <c r="M117" s="164"/>
      <c r="N117" s="164"/>
      <c r="O117" s="164"/>
      <c r="P117" s="164"/>
      <c r="Q117" s="164"/>
      <c r="R117" s="167"/>
    </row>
    <row r="118" spans="1:18" s="175" customFormat="1" ht="11.25" outlineLevel="1">
      <c r="A118" s="168" t="s">
        <v>259</v>
      </c>
      <c r="B118" s="212" t="e">
        <f>'КРМД-22'!R118</f>
        <v>#REF!</v>
      </c>
      <c r="C118" s="212"/>
      <c r="D118" s="213" t="e">
        <f>B118*0.3</f>
        <v>#REF!</v>
      </c>
      <c r="E118" s="171"/>
      <c r="F118" s="172" t="e">
        <f>B118</f>
        <v>#REF!</v>
      </c>
      <c r="G118" s="173" t="e">
        <f t="shared" ref="G118:R118" si="39">(F118+F119+F120+F121-F123-F124-F125-F126-F127)</f>
        <v>#REF!</v>
      </c>
      <c r="H118" s="173" t="e">
        <f t="shared" si="39"/>
        <v>#REF!</v>
      </c>
      <c r="I118" s="173" t="e">
        <f t="shared" si="39"/>
        <v>#REF!</v>
      </c>
      <c r="J118" s="173" t="e">
        <f t="shared" si="39"/>
        <v>#REF!</v>
      </c>
      <c r="K118" s="173" t="e">
        <f t="shared" si="39"/>
        <v>#REF!</v>
      </c>
      <c r="L118" s="173" t="e">
        <f t="shared" si="39"/>
        <v>#REF!</v>
      </c>
      <c r="M118" s="173" t="e">
        <f t="shared" si="39"/>
        <v>#REF!</v>
      </c>
      <c r="N118" s="173" t="e">
        <f t="shared" si="39"/>
        <v>#REF!</v>
      </c>
      <c r="O118" s="173" t="e">
        <f t="shared" si="39"/>
        <v>#REF!</v>
      </c>
      <c r="P118" s="173" t="e">
        <f t="shared" si="39"/>
        <v>#REF!</v>
      </c>
      <c r="Q118" s="173" t="e">
        <f t="shared" si="39"/>
        <v>#REF!</v>
      </c>
      <c r="R118" s="174" t="e">
        <f t="shared" si="39"/>
        <v>#REF!</v>
      </c>
    </row>
    <row r="119" spans="1:18" s="175" customFormat="1" ht="11.25" outlineLevel="1">
      <c r="A119" s="214" t="s">
        <v>247</v>
      </c>
      <c r="B119" s="177"/>
      <c r="C119" s="178"/>
      <c r="D119" s="178"/>
      <c r="E119" s="179"/>
      <c r="F119" s="180">
        <f>F137</f>
        <v>0</v>
      </c>
      <c r="G119" s="180">
        <f t="shared" ref="G119:Q119" si="40">G137</f>
        <v>0</v>
      </c>
      <c r="H119" s="180">
        <f t="shared" si="40"/>
        <v>0</v>
      </c>
      <c r="I119" s="180">
        <f t="shared" si="40"/>
        <v>0</v>
      </c>
      <c r="J119" s="180">
        <f t="shared" si="40"/>
        <v>0</v>
      </c>
      <c r="K119" s="180">
        <f t="shared" si="40"/>
        <v>0</v>
      </c>
      <c r="L119" s="180">
        <f t="shared" si="40"/>
        <v>0</v>
      </c>
      <c r="M119" s="180">
        <f t="shared" si="40"/>
        <v>0</v>
      </c>
      <c r="N119" s="180">
        <f t="shared" si="40"/>
        <v>0</v>
      </c>
      <c r="O119" s="180">
        <f t="shared" si="40"/>
        <v>0</v>
      </c>
      <c r="P119" s="180">
        <f t="shared" si="40"/>
        <v>0</v>
      </c>
      <c r="Q119" s="180" t="e">
        <f t="shared" si="40"/>
        <v>#REF!</v>
      </c>
      <c r="R119" s="182" t="e">
        <f t="shared" ref="R119:R128" si="41">SUM(F119:Q119)</f>
        <v>#REF!</v>
      </c>
    </row>
    <row r="120" spans="1:18" s="175" customFormat="1" ht="11.25" outlineLevel="1">
      <c r="A120" s="214" t="s">
        <v>248</v>
      </c>
      <c r="B120" s="183"/>
      <c r="C120" s="184"/>
      <c r="D120" s="184"/>
      <c r="E120" s="185"/>
      <c r="F120" s="180"/>
      <c r="G120" s="181"/>
      <c r="H120" s="181"/>
      <c r="I120" s="181"/>
      <c r="J120" s="181"/>
      <c r="K120" s="181"/>
      <c r="L120" s="181"/>
      <c r="M120" s="181"/>
      <c r="N120" s="181"/>
      <c r="O120" s="181"/>
      <c r="P120" s="181"/>
      <c r="Q120" s="181"/>
      <c r="R120" s="182">
        <f t="shared" si="41"/>
        <v>0</v>
      </c>
    </row>
    <row r="121" spans="1:18" s="175" customFormat="1" ht="12" outlineLevel="1" thickBot="1">
      <c r="A121" s="215" t="s">
        <v>249</v>
      </c>
      <c r="B121" s="183"/>
      <c r="C121" s="184"/>
      <c r="D121" s="184"/>
      <c r="E121" s="185"/>
      <c r="F121" s="187"/>
      <c r="G121" s="188"/>
      <c r="H121" s="188"/>
      <c r="I121" s="188"/>
      <c r="J121" s="188"/>
      <c r="K121" s="188"/>
      <c r="L121" s="188"/>
      <c r="M121" s="188"/>
      <c r="N121" s="188"/>
      <c r="O121" s="188"/>
      <c r="P121" s="188"/>
      <c r="Q121" s="188"/>
      <c r="R121" s="189">
        <f t="shared" si="41"/>
        <v>0</v>
      </c>
    </row>
    <row r="122" spans="1:18" s="151" customFormat="1" ht="12" outlineLevel="1" thickBot="1">
      <c r="A122" s="216" t="s">
        <v>250</v>
      </c>
      <c r="B122" s="183"/>
      <c r="C122" s="184"/>
      <c r="D122" s="184"/>
      <c r="E122" s="185"/>
      <c r="F122" s="191"/>
      <c r="G122" s="164"/>
      <c r="H122" s="164"/>
      <c r="I122" s="164"/>
      <c r="J122" s="164"/>
      <c r="K122" s="164"/>
      <c r="L122" s="164"/>
      <c r="M122" s="164"/>
      <c r="N122" s="164"/>
      <c r="O122" s="164"/>
      <c r="P122" s="164"/>
      <c r="Q122" s="164"/>
      <c r="R122" s="192">
        <f t="shared" si="41"/>
        <v>0</v>
      </c>
    </row>
    <row r="123" spans="1:18" s="175" customFormat="1" ht="11.25" outlineLevel="1">
      <c r="A123" s="217" t="s">
        <v>251</v>
      </c>
      <c r="B123" s="183"/>
      <c r="C123" s="184"/>
      <c r="D123" s="184"/>
      <c r="E123" s="185"/>
      <c r="F123" s="219"/>
      <c r="G123" s="220"/>
      <c r="H123" s="220"/>
      <c r="I123" s="220"/>
      <c r="J123" s="220"/>
      <c r="K123" s="220"/>
      <c r="L123" s="220"/>
      <c r="M123" s="220"/>
      <c r="N123" s="220"/>
      <c r="O123" s="220"/>
      <c r="P123" s="220"/>
      <c r="Q123" s="220"/>
      <c r="R123" s="196">
        <f t="shared" si="41"/>
        <v>0</v>
      </c>
    </row>
    <row r="124" spans="1:18" s="175" customFormat="1" ht="22.5" customHeight="1" outlineLevel="1">
      <c r="A124" s="218" t="s">
        <v>252</v>
      </c>
      <c r="B124" s="183"/>
      <c r="C124" s="184"/>
      <c r="D124" s="184"/>
      <c r="E124" s="185"/>
      <c r="F124" s="180"/>
      <c r="G124" s="181"/>
      <c r="H124" s="181"/>
      <c r="I124" s="181"/>
      <c r="J124" s="181"/>
      <c r="K124" s="181"/>
      <c r="L124" s="181"/>
      <c r="M124" s="181"/>
      <c r="N124" s="181"/>
      <c r="O124" s="181"/>
      <c r="P124" s="181"/>
      <c r="Q124" s="181"/>
      <c r="R124" s="182">
        <f t="shared" si="41"/>
        <v>0</v>
      </c>
    </row>
    <row r="125" spans="1:18" s="175" customFormat="1" ht="11.25" outlineLevel="1">
      <c r="A125" s="218" t="s">
        <v>253</v>
      </c>
      <c r="B125" s="183"/>
      <c r="C125" s="184"/>
      <c r="D125" s="184"/>
      <c r="E125" s="185"/>
      <c r="F125" s="180"/>
      <c r="G125" s="181"/>
      <c r="H125" s="181"/>
      <c r="I125" s="181"/>
      <c r="J125" s="181"/>
      <c r="K125" s="181"/>
      <c r="L125" s="181"/>
      <c r="M125" s="181"/>
      <c r="N125" s="181"/>
      <c r="O125" s="181"/>
      <c r="P125" s="181"/>
      <c r="Q125" s="181"/>
      <c r="R125" s="182">
        <f t="shared" si="41"/>
        <v>0</v>
      </c>
    </row>
    <row r="126" spans="1:18" s="175" customFormat="1" ht="11.25" outlineLevel="1">
      <c r="A126" s="218" t="s">
        <v>254</v>
      </c>
      <c r="B126" s="183"/>
      <c r="C126" s="184"/>
      <c r="D126" s="184"/>
      <c r="E126" s="185"/>
      <c r="F126" s="180"/>
      <c r="G126" s="181"/>
      <c r="H126" s="181"/>
      <c r="I126" s="181"/>
      <c r="J126" s="181"/>
      <c r="K126" s="181"/>
      <c r="L126" s="181"/>
      <c r="M126" s="181"/>
      <c r="N126" s="181"/>
      <c r="O126" s="181"/>
      <c r="P126" s="181"/>
      <c r="Q126" s="181"/>
      <c r="R126" s="182">
        <f t="shared" si="41"/>
        <v>0</v>
      </c>
    </row>
    <row r="127" spans="1:18" s="175" customFormat="1" ht="11.25" outlineLevel="1">
      <c r="A127" s="218" t="s">
        <v>255</v>
      </c>
      <c r="B127" s="183"/>
      <c r="C127" s="184"/>
      <c r="D127" s="184"/>
      <c r="E127" s="185"/>
      <c r="F127" s="180"/>
      <c r="G127" s="181"/>
      <c r="H127" s="181"/>
      <c r="I127" s="181"/>
      <c r="J127" s="181"/>
      <c r="K127" s="181"/>
      <c r="L127" s="181"/>
      <c r="M127" s="181"/>
      <c r="N127" s="181"/>
      <c r="O127" s="181"/>
      <c r="P127" s="181"/>
      <c r="Q127" s="181"/>
      <c r="R127" s="182">
        <f t="shared" si="41"/>
        <v>0</v>
      </c>
    </row>
    <row r="128" spans="1:18" s="175" customFormat="1" ht="11.25" outlineLevel="1">
      <c r="A128" s="221" t="s">
        <v>256</v>
      </c>
      <c r="B128" s="201"/>
      <c r="C128" s="202"/>
      <c r="D128" s="202"/>
      <c r="E128" s="203"/>
      <c r="F128" s="204" t="e">
        <f t="shared" ref="F128:Q128" si="42">(F118+G118)/2*F$3</f>
        <v>#REF!</v>
      </c>
      <c r="G128" s="204" t="e">
        <f t="shared" si="42"/>
        <v>#REF!</v>
      </c>
      <c r="H128" s="204" t="e">
        <f t="shared" si="42"/>
        <v>#REF!</v>
      </c>
      <c r="I128" s="204" t="e">
        <f t="shared" si="42"/>
        <v>#REF!</v>
      </c>
      <c r="J128" s="204" t="e">
        <f t="shared" si="42"/>
        <v>#REF!</v>
      </c>
      <c r="K128" s="204" t="e">
        <f t="shared" si="42"/>
        <v>#REF!</v>
      </c>
      <c r="L128" s="204" t="e">
        <f t="shared" si="42"/>
        <v>#REF!</v>
      </c>
      <c r="M128" s="204" t="e">
        <f t="shared" si="42"/>
        <v>#REF!</v>
      </c>
      <c r="N128" s="204" t="e">
        <f t="shared" si="42"/>
        <v>#REF!</v>
      </c>
      <c r="O128" s="204" t="e">
        <f t="shared" si="42"/>
        <v>#REF!</v>
      </c>
      <c r="P128" s="204" t="e">
        <f t="shared" si="42"/>
        <v>#REF!</v>
      </c>
      <c r="Q128" s="204" t="e">
        <f t="shared" si="42"/>
        <v>#REF!</v>
      </c>
      <c r="R128" s="205" t="e">
        <f t="shared" si="41"/>
        <v>#REF!</v>
      </c>
    </row>
    <row r="129" spans="1:18" s="175" customFormat="1" ht="12" outlineLevel="1" thickBot="1">
      <c r="A129" s="206" t="s">
        <v>257</v>
      </c>
      <c r="B129" s="207"/>
      <c r="C129" s="207"/>
      <c r="D129" s="208"/>
      <c r="E129" s="207"/>
      <c r="F129" s="209" t="e">
        <f t="shared" ref="F129:R129" si="43">F128/F$3</f>
        <v>#REF!</v>
      </c>
      <c r="G129" s="210" t="e">
        <f t="shared" si="43"/>
        <v>#REF!</v>
      </c>
      <c r="H129" s="210" t="e">
        <f t="shared" si="43"/>
        <v>#REF!</v>
      </c>
      <c r="I129" s="210" t="e">
        <f t="shared" si="43"/>
        <v>#REF!</v>
      </c>
      <c r="J129" s="210" t="e">
        <f t="shared" si="43"/>
        <v>#REF!</v>
      </c>
      <c r="K129" s="210" t="e">
        <f t="shared" si="43"/>
        <v>#REF!</v>
      </c>
      <c r="L129" s="210" t="e">
        <f t="shared" si="43"/>
        <v>#REF!</v>
      </c>
      <c r="M129" s="210" t="e">
        <f t="shared" si="43"/>
        <v>#REF!</v>
      </c>
      <c r="N129" s="210" t="e">
        <f t="shared" si="43"/>
        <v>#REF!</v>
      </c>
      <c r="O129" s="210" t="e">
        <f t="shared" si="43"/>
        <v>#REF!</v>
      </c>
      <c r="P129" s="210" t="e">
        <f t="shared" si="43"/>
        <v>#REF!</v>
      </c>
      <c r="Q129" s="210" t="e">
        <f t="shared" si="43"/>
        <v>#REF!</v>
      </c>
      <c r="R129" s="211" t="e">
        <f t="shared" si="43"/>
        <v>#REF!</v>
      </c>
    </row>
    <row r="130" spans="1:18" s="151" customFormat="1" ht="12" thickBot="1">
      <c r="A130" s="160" t="s">
        <v>268</v>
      </c>
      <c r="B130" s="161"/>
      <c r="C130" s="161"/>
      <c r="D130" s="161"/>
      <c r="E130" s="161"/>
      <c r="F130" s="161"/>
      <c r="G130" s="161"/>
      <c r="H130" s="161"/>
      <c r="I130" s="161"/>
      <c r="J130" s="161"/>
      <c r="K130" s="161"/>
      <c r="L130" s="161"/>
      <c r="M130" s="161"/>
      <c r="N130" s="161"/>
      <c r="O130" s="161"/>
      <c r="P130" s="161"/>
      <c r="Q130" s="161"/>
      <c r="R130" s="162"/>
    </row>
    <row r="131" spans="1:18" s="151" customFormat="1" ht="12" outlineLevel="1" thickBot="1">
      <c r="A131" s="163" t="s">
        <v>245</v>
      </c>
      <c r="B131" s="164"/>
      <c r="C131" s="164"/>
      <c r="D131" s="165"/>
      <c r="E131" s="166"/>
      <c r="F131" s="164"/>
      <c r="G131" s="164"/>
      <c r="H131" s="164"/>
      <c r="I131" s="164"/>
      <c r="J131" s="164"/>
      <c r="K131" s="164"/>
      <c r="L131" s="164"/>
      <c r="M131" s="164"/>
      <c r="N131" s="164"/>
      <c r="O131" s="164"/>
      <c r="P131" s="164"/>
      <c r="Q131" s="164"/>
      <c r="R131" s="167"/>
    </row>
    <row r="132" spans="1:18" s="175" customFormat="1" ht="11.25" outlineLevel="1">
      <c r="A132" s="168" t="s">
        <v>259</v>
      </c>
      <c r="B132" s="212" t="e">
        <f>+'КРМД-22'!R132</f>
        <v>#REF!</v>
      </c>
      <c r="C132" s="212"/>
      <c r="D132" s="213" t="e">
        <f>B132*0.257</f>
        <v>#REF!</v>
      </c>
      <c r="E132" s="171" t="e">
        <f>B132*55</f>
        <v>#REF!</v>
      </c>
      <c r="F132" s="172" t="e">
        <f>B132</f>
        <v>#REF!</v>
      </c>
      <c r="G132" s="173" t="e">
        <f t="shared" ref="G132:R132" si="44">(F132+F133+F134+F135-F137-F138-F139-F140-F141)</f>
        <v>#REF!</v>
      </c>
      <c r="H132" s="173" t="e">
        <f t="shared" si="44"/>
        <v>#REF!</v>
      </c>
      <c r="I132" s="173" t="e">
        <f t="shared" si="44"/>
        <v>#REF!</v>
      </c>
      <c r="J132" s="173" t="e">
        <f t="shared" si="44"/>
        <v>#REF!</v>
      </c>
      <c r="K132" s="173" t="e">
        <f t="shared" si="44"/>
        <v>#REF!</v>
      </c>
      <c r="L132" s="173" t="e">
        <f t="shared" si="44"/>
        <v>#REF!</v>
      </c>
      <c r="M132" s="173" t="e">
        <f t="shared" si="44"/>
        <v>#REF!</v>
      </c>
      <c r="N132" s="173" t="e">
        <f t="shared" si="44"/>
        <v>#REF!</v>
      </c>
      <c r="O132" s="173" t="e">
        <f t="shared" si="44"/>
        <v>#REF!</v>
      </c>
      <c r="P132" s="173" t="e">
        <f t="shared" si="44"/>
        <v>#REF!</v>
      </c>
      <c r="Q132" s="173" t="e">
        <f t="shared" si="44"/>
        <v>#REF!</v>
      </c>
      <c r="R132" s="174" t="e">
        <f t="shared" si="44"/>
        <v>#REF!</v>
      </c>
    </row>
    <row r="133" spans="1:18" s="175" customFormat="1" ht="11.25" outlineLevel="1">
      <c r="A133" s="214" t="s">
        <v>247</v>
      </c>
      <c r="B133" s="177"/>
      <c r="C133" s="178"/>
      <c r="D133" s="178"/>
      <c r="E133" s="179"/>
      <c r="F133" s="230">
        <f>F151</f>
        <v>0</v>
      </c>
      <c r="G133" s="181">
        <f t="shared" ref="G133:Q133" si="45">G151</f>
        <v>0</v>
      </c>
      <c r="H133" s="181">
        <f t="shared" si="45"/>
        <v>0</v>
      </c>
      <c r="I133" s="181">
        <f t="shared" si="45"/>
        <v>0</v>
      </c>
      <c r="J133" s="181">
        <f t="shared" si="45"/>
        <v>0</v>
      </c>
      <c r="K133" s="181">
        <f t="shared" si="45"/>
        <v>0</v>
      </c>
      <c r="L133" s="181">
        <f t="shared" si="45"/>
        <v>0</v>
      </c>
      <c r="M133" s="181">
        <f t="shared" si="45"/>
        <v>0</v>
      </c>
      <c r="N133" s="181">
        <f t="shared" si="45"/>
        <v>0</v>
      </c>
      <c r="O133" s="181">
        <f t="shared" si="45"/>
        <v>0</v>
      </c>
      <c r="P133" s="181">
        <f t="shared" si="45"/>
        <v>0</v>
      </c>
      <c r="Q133" s="227" t="e">
        <f t="shared" si="45"/>
        <v>#REF!</v>
      </c>
      <c r="R133" s="182" t="e">
        <f t="shared" ref="R133:R142" si="46">SUM(F133:Q133)</f>
        <v>#REF!</v>
      </c>
    </row>
    <row r="134" spans="1:18" s="175" customFormat="1" ht="11.25" outlineLevel="1">
      <c r="A134" s="214" t="s">
        <v>248</v>
      </c>
      <c r="B134" s="183"/>
      <c r="C134" s="184"/>
      <c r="D134" s="184"/>
      <c r="E134" s="185"/>
      <c r="F134" s="180"/>
      <c r="G134" s="181"/>
      <c r="H134" s="181"/>
      <c r="I134" s="181"/>
      <c r="J134" s="181"/>
      <c r="K134" s="181"/>
      <c r="L134" s="181"/>
      <c r="M134" s="181"/>
      <c r="N134" s="181"/>
      <c r="O134" s="181"/>
      <c r="P134" s="181"/>
      <c r="Q134" s="181"/>
      <c r="R134" s="182">
        <f t="shared" si="46"/>
        <v>0</v>
      </c>
    </row>
    <row r="135" spans="1:18" s="175" customFormat="1" ht="12" outlineLevel="1" thickBot="1">
      <c r="A135" s="215" t="s">
        <v>249</v>
      </c>
      <c r="B135" s="183"/>
      <c r="C135" s="184"/>
      <c r="D135" s="184"/>
      <c r="E135" s="185"/>
      <c r="F135" s="187"/>
      <c r="G135" s="188"/>
      <c r="H135" s="188"/>
      <c r="I135" s="188"/>
      <c r="J135" s="188"/>
      <c r="K135" s="188"/>
      <c r="L135" s="188"/>
      <c r="M135" s="188"/>
      <c r="N135" s="188"/>
      <c r="O135" s="188"/>
      <c r="P135" s="188"/>
      <c r="Q135" s="188"/>
      <c r="R135" s="189">
        <f t="shared" si="46"/>
        <v>0</v>
      </c>
    </row>
    <row r="136" spans="1:18" s="151" customFormat="1" ht="12" outlineLevel="1" thickBot="1">
      <c r="A136" s="216" t="s">
        <v>250</v>
      </c>
      <c r="B136" s="183"/>
      <c r="C136" s="184"/>
      <c r="D136" s="184"/>
      <c r="E136" s="185"/>
      <c r="F136" s="191"/>
      <c r="G136" s="164"/>
      <c r="H136" s="164"/>
      <c r="I136" s="164"/>
      <c r="J136" s="164"/>
      <c r="K136" s="164"/>
      <c r="L136" s="164"/>
      <c r="M136" s="164"/>
      <c r="N136" s="164"/>
      <c r="O136" s="164"/>
      <c r="P136" s="164"/>
      <c r="Q136" s="164"/>
      <c r="R136" s="192">
        <f t="shared" si="46"/>
        <v>0</v>
      </c>
    </row>
    <row r="137" spans="1:18" s="175" customFormat="1" ht="11.25" outlineLevel="1">
      <c r="A137" s="217" t="s">
        <v>251</v>
      </c>
      <c r="B137" s="183"/>
      <c r="C137" s="184"/>
      <c r="D137" s="184"/>
      <c r="E137" s="185"/>
      <c r="F137" s="219"/>
      <c r="G137" s="220"/>
      <c r="H137" s="220"/>
      <c r="I137" s="220"/>
      <c r="J137" s="220"/>
      <c r="K137" s="220"/>
      <c r="L137" s="220"/>
      <c r="M137" s="220"/>
      <c r="N137" s="220"/>
      <c r="O137" s="220"/>
      <c r="P137" s="220"/>
      <c r="Q137" s="220" t="e">
        <f>Q132</f>
        <v>#REF!</v>
      </c>
      <c r="R137" s="196" t="e">
        <f t="shared" si="46"/>
        <v>#REF!</v>
      </c>
    </row>
    <row r="138" spans="1:18" s="175" customFormat="1" ht="22.5" customHeight="1" outlineLevel="1">
      <c r="A138" s="218" t="s">
        <v>252</v>
      </c>
      <c r="B138" s="183"/>
      <c r="C138" s="184"/>
      <c r="D138" s="184"/>
      <c r="E138" s="185"/>
      <c r="F138" s="180"/>
      <c r="G138" s="181"/>
      <c r="H138" s="181"/>
      <c r="I138" s="181"/>
      <c r="J138" s="181"/>
      <c r="K138" s="181"/>
      <c r="L138" s="181"/>
      <c r="M138" s="181"/>
      <c r="N138" s="181"/>
      <c r="O138" s="181"/>
      <c r="P138" s="181" t="e">
        <f>+P132</f>
        <v>#REF!</v>
      </c>
      <c r="Q138" s="181"/>
      <c r="R138" s="182" t="e">
        <f t="shared" si="46"/>
        <v>#REF!</v>
      </c>
    </row>
    <row r="139" spans="1:18" s="175" customFormat="1" ht="11.25" outlineLevel="1">
      <c r="A139" s="218" t="s">
        <v>253</v>
      </c>
      <c r="B139" s="183"/>
      <c r="C139" s="184"/>
      <c r="D139" s="184"/>
      <c r="E139" s="185"/>
      <c r="F139" s="180"/>
      <c r="G139" s="181"/>
      <c r="H139" s="181"/>
      <c r="I139" s="181"/>
      <c r="J139" s="181"/>
      <c r="K139" s="181"/>
      <c r="L139" s="181"/>
      <c r="M139" s="181"/>
      <c r="N139" s="181"/>
      <c r="O139" s="181"/>
      <c r="P139" s="181"/>
      <c r="Q139" s="181"/>
      <c r="R139" s="182">
        <f t="shared" si="46"/>
        <v>0</v>
      </c>
    </row>
    <row r="140" spans="1:18" s="175" customFormat="1" ht="11.25" outlineLevel="1">
      <c r="A140" s="218" t="s">
        <v>254</v>
      </c>
      <c r="B140" s="183"/>
      <c r="C140" s="184"/>
      <c r="D140" s="184"/>
      <c r="E140" s="185"/>
      <c r="F140" s="180"/>
      <c r="G140" s="181"/>
      <c r="H140" s="181"/>
      <c r="I140" s="181"/>
      <c r="J140" s="181"/>
      <c r="K140" s="181"/>
      <c r="L140" s="181"/>
      <c r="M140" s="181"/>
      <c r="N140" s="181"/>
      <c r="O140" s="181"/>
      <c r="P140" s="181"/>
      <c r="Q140" s="181"/>
      <c r="R140" s="182">
        <f t="shared" si="46"/>
        <v>0</v>
      </c>
    </row>
    <row r="141" spans="1:18" s="175" customFormat="1" ht="11.25" outlineLevel="1">
      <c r="A141" s="218" t="s">
        <v>255</v>
      </c>
      <c r="B141" s="183"/>
      <c r="C141" s="184"/>
      <c r="D141" s="184"/>
      <c r="E141" s="185"/>
      <c r="F141" s="180"/>
      <c r="G141" s="181"/>
      <c r="H141" s="181"/>
      <c r="I141" s="181"/>
      <c r="J141" s="181"/>
      <c r="K141" s="181"/>
      <c r="L141" s="181"/>
      <c r="M141" s="181"/>
      <c r="N141" s="181"/>
      <c r="O141" s="181"/>
      <c r="P141" s="181"/>
      <c r="Q141" s="181"/>
      <c r="R141" s="182">
        <f t="shared" si="46"/>
        <v>0</v>
      </c>
    </row>
    <row r="142" spans="1:18" s="175" customFormat="1" ht="11.25" outlineLevel="1">
      <c r="A142" s="221" t="s">
        <v>256</v>
      </c>
      <c r="B142" s="201"/>
      <c r="C142" s="202"/>
      <c r="D142" s="202"/>
      <c r="E142" s="203"/>
      <c r="F142" s="204" t="e">
        <f>(F132+G132)/2*F$3</f>
        <v>#REF!</v>
      </c>
      <c r="G142" s="204" t="e">
        <f t="shared" ref="G142:Q142" si="47">(G132+H132)/2*G$3</f>
        <v>#REF!</v>
      </c>
      <c r="H142" s="204" t="e">
        <f t="shared" si="47"/>
        <v>#REF!</v>
      </c>
      <c r="I142" s="204" t="e">
        <f t="shared" si="47"/>
        <v>#REF!</v>
      </c>
      <c r="J142" s="204" t="e">
        <f t="shared" si="47"/>
        <v>#REF!</v>
      </c>
      <c r="K142" s="204" t="e">
        <f t="shared" si="47"/>
        <v>#REF!</v>
      </c>
      <c r="L142" s="204" t="e">
        <f t="shared" si="47"/>
        <v>#REF!</v>
      </c>
      <c r="M142" s="204" t="e">
        <f t="shared" si="47"/>
        <v>#REF!</v>
      </c>
      <c r="N142" s="204" t="e">
        <f t="shared" si="47"/>
        <v>#REF!</v>
      </c>
      <c r="O142" s="204" t="e">
        <f t="shared" si="47"/>
        <v>#REF!</v>
      </c>
      <c r="P142" s="204" t="e">
        <f t="shared" si="47"/>
        <v>#REF!</v>
      </c>
      <c r="Q142" s="204" t="e">
        <f t="shared" si="47"/>
        <v>#REF!</v>
      </c>
      <c r="R142" s="205" t="e">
        <f t="shared" si="46"/>
        <v>#REF!</v>
      </c>
    </row>
    <row r="143" spans="1:18" s="175" customFormat="1" ht="12" outlineLevel="1" thickBot="1">
      <c r="A143" s="206" t="s">
        <v>257</v>
      </c>
      <c r="B143" s="207"/>
      <c r="C143" s="207"/>
      <c r="D143" s="208"/>
      <c r="E143" s="207"/>
      <c r="F143" s="209" t="e">
        <f>F142/F$3</f>
        <v>#REF!</v>
      </c>
      <c r="G143" s="210" t="e">
        <f t="shared" ref="G143:R143" si="48">G142/G$3</f>
        <v>#REF!</v>
      </c>
      <c r="H143" s="210" t="e">
        <f t="shared" si="48"/>
        <v>#REF!</v>
      </c>
      <c r="I143" s="210" t="e">
        <f t="shared" si="48"/>
        <v>#REF!</v>
      </c>
      <c r="J143" s="210" t="e">
        <f t="shared" si="48"/>
        <v>#REF!</v>
      </c>
      <c r="K143" s="210" t="e">
        <f t="shared" si="48"/>
        <v>#REF!</v>
      </c>
      <c r="L143" s="210" t="e">
        <f t="shared" si="48"/>
        <v>#REF!</v>
      </c>
      <c r="M143" s="210" t="e">
        <f t="shared" si="48"/>
        <v>#REF!</v>
      </c>
      <c r="N143" s="210" t="e">
        <f t="shared" si="48"/>
        <v>#REF!</v>
      </c>
      <c r="O143" s="210" t="e">
        <f t="shared" si="48"/>
        <v>#REF!</v>
      </c>
      <c r="P143" s="210" t="e">
        <f t="shared" si="48"/>
        <v>#REF!</v>
      </c>
      <c r="Q143" s="210" t="e">
        <f t="shared" si="48"/>
        <v>#REF!</v>
      </c>
      <c r="R143" s="211" t="e">
        <f t="shared" si="48"/>
        <v>#REF!</v>
      </c>
    </row>
    <row r="144" spans="1:18" s="151" customFormat="1" ht="12" thickBot="1">
      <c r="A144" s="160" t="s">
        <v>269</v>
      </c>
      <c r="B144" s="161"/>
      <c r="C144" s="161"/>
      <c r="D144" s="161"/>
      <c r="E144" s="161"/>
      <c r="F144" s="161"/>
      <c r="G144" s="161"/>
      <c r="H144" s="161"/>
      <c r="I144" s="161"/>
      <c r="J144" s="161"/>
      <c r="K144" s="161"/>
      <c r="L144" s="161"/>
      <c r="M144" s="161"/>
      <c r="N144" s="161"/>
      <c r="O144" s="161"/>
      <c r="P144" s="161"/>
      <c r="Q144" s="161"/>
      <c r="R144" s="162"/>
    </row>
    <row r="145" spans="1:18" s="151" customFormat="1" ht="12" outlineLevel="1" thickBot="1">
      <c r="A145" s="163" t="s">
        <v>245</v>
      </c>
      <c r="B145" s="164"/>
      <c r="C145" s="164"/>
      <c r="D145" s="165"/>
      <c r="E145" s="166"/>
      <c r="F145" s="164"/>
      <c r="G145" s="164"/>
      <c r="H145" s="164"/>
      <c r="I145" s="164"/>
      <c r="J145" s="164"/>
      <c r="K145" s="164"/>
      <c r="L145" s="164"/>
      <c r="M145" s="164"/>
      <c r="N145" s="164"/>
      <c r="O145" s="164"/>
      <c r="P145" s="164"/>
      <c r="Q145" s="164"/>
      <c r="R145" s="167"/>
    </row>
    <row r="146" spans="1:18" s="175" customFormat="1" ht="11.25" outlineLevel="1">
      <c r="A146" s="168" t="s">
        <v>259</v>
      </c>
      <c r="B146" s="212" t="e">
        <f>+'КРМД-22'!R146</f>
        <v>#REF!</v>
      </c>
      <c r="C146" s="212"/>
      <c r="D146" s="213" t="e">
        <f>B146*0.075</f>
        <v>#REF!</v>
      </c>
      <c r="E146" s="171" t="e">
        <f>+D146*270</f>
        <v>#REF!</v>
      </c>
      <c r="F146" s="172" t="e">
        <f>B146</f>
        <v>#REF!</v>
      </c>
      <c r="G146" s="173" t="e">
        <f t="shared" ref="G146:R146" si="49">(F146+F147+F148+F149-F151-F152-F153-F154-F155)</f>
        <v>#REF!</v>
      </c>
      <c r="H146" s="173" t="e">
        <f t="shared" si="49"/>
        <v>#REF!</v>
      </c>
      <c r="I146" s="173" t="e">
        <f t="shared" si="49"/>
        <v>#REF!</v>
      </c>
      <c r="J146" s="173" t="e">
        <f t="shared" si="49"/>
        <v>#REF!</v>
      </c>
      <c r="K146" s="173" t="e">
        <f t="shared" si="49"/>
        <v>#REF!</v>
      </c>
      <c r="L146" s="173" t="e">
        <f t="shared" si="49"/>
        <v>#REF!</v>
      </c>
      <c r="M146" s="173" t="e">
        <f t="shared" si="49"/>
        <v>#REF!</v>
      </c>
      <c r="N146" s="173" t="e">
        <f t="shared" si="49"/>
        <v>#REF!</v>
      </c>
      <c r="O146" s="173" t="e">
        <f t="shared" si="49"/>
        <v>#REF!</v>
      </c>
      <c r="P146" s="173" t="e">
        <f t="shared" si="49"/>
        <v>#REF!</v>
      </c>
      <c r="Q146" s="173" t="e">
        <f t="shared" si="49"/>
        <v>#REF!</v>
      </c>
      <c r="R146" s="174" t="e">
        <f t="shared" si="49"/>
        <v>#REF!</v>
      </c>
    </row>
    <row r="147" spans="1:18" s="175" customFormat="1" ht="11.25" outlineLevel="1">
      <c r="A147" s="214" t="s">
        <v>247</v>
      </c>
      <c r="B147" s="177"/>
      <c r="C147" s="178"/>
      <c r="D147" s="178"/>
      <c r="E147" s="179"/>
      <c r="F147" s="230">
        <f>F179</f>
        <v>0</v>
      </c>
      <c r="G147" s="181">
        <f t="shared" ref="G147:Q147" si="50">G179</f>
        <v>0</v>
      </c>
      <c r="H147" s="181">
        <f t="shared" si="50"/>
        <v>0</v>
      </c>
      <c r="I147" s="181">
        <f t="shared" si="50"/>
        <v>0</v>
      </c>
      <c r="J147" s="181">
        <f t="shared" si="50"/>
        <v>0</v>
      </c>
      <c r="K147" s="181">
        <f t="shared" si="50"/>
        <v>0</v>
      </c>
      <c r="L147" s="181">
        <f t="shared" si="50"/>
        <v>0</v>
      </c>
      <c r="M147" s="181">
        <f t="shared" si="50"/>
        <v>0</v>
      </c>
      <c r="N147" s="181">
        <f t="shared" si="50"/>
        <v>0</v>
      </c>
      <c r="O147" s="181">
        <f t="shared" si="50"/>
        <v>0</v>
      </c>
      <c r="P147" s="181">
        <f t="shared" si="50"/>
        <v>0</v>
      </c>
      <c r="Q147" s="227" t="e">
        <f t="shared" si="50"/>
        <v>#REF!</v>
      </c>
      <c r="R147" s="182" t="e">
        <f t="shared" ref="R147:R156" si="51">SUM(F147:Q147)</f>
        <v>#REF!</v>
      </c>
    </row>
    <row r="148" spans="1:18" s="175" customFormat="1" ht="11.25" outlineLevel="1">
      <c r="A148" s="214" t="s">
        <v>248</v>
      </c>
      <c r="B148" s="183"/>
      <c r="C148" s="184"/>
      <c r="D148" s="184"/>
      <c r="E148" s="185"/>
      <c r="F148" s="180"/>
      <c r="G148" s="181"/>
      <c r="H148" s="181"/>
      <c r="I148" s="181"/>
      <c r="J148" s="181"/>
      <c r="K148" s="181"/>
      <c r="L148" s="181"/>
      <c r="M148" s="181"/>
      <c r="N148" s="181"/>
      <c r="O148" s="181"/>
      <c r="P148" s="181"/>
      <c r="Q148" s="181"/>
      <c r="R148" s="182">
        <f t="shared" si="51"/>
        <v>0</v>
      </c>
    </row>
    <row r="149" spans="1:18" s="175" customFormat="1" ht="12" outlineLevel="1" thickBot="1">
      <c r="A149" s="215" t="s">
        <v>249</v>
      </c>
      <c r="B149" s="183"/>
      <c r="C149" s="184"/>
      <c r="D149" s="184"/>
      <c r="E149" s="185"/>
      <c r="F149" s="187"/>
      <c r="G149" s="188"/>
      <c r="H149" s="188"/>
      <c r="I149" s="188"/>
      <c r="J149" s="188"/>
      <c r="K149" s="188"/>
      <c r="L149" s="188"/>
      <c r="M149" s="188"/>
      <c r="N149" s="188"/>
      <c r="O149" s="188"/>
      <c r="P149" s="188"/>
      <c r="Q149" s="188"/>
      <c r="R149" s="189">
        <f t="shared" si="51"/>
        <v>0</v>
      </c>
    </row>
    <row r="150" spans="1:18" s="151" customFormat="1" ht="12" outlineLevel="1" thickBot="1">
      <c r="A150" s="216" t="s">
        <v>250</v>
      </c>
      <c r="B150" s="183"/>
      <c r="C150" s="184"/>
      <c r="D150" s="184"/>
      <c r="E150" s="185"/>
      <c r="F150" s="191"/>
      <c r="G150" s="164"/>
      <c r="H150" s="164"/>
      <c r="I150" s="164"/>
      <c r="J150" s="164"/>
      <c r="K150" s="164"/>
      <c r="L150" s="164"/>
      <c r="M150" s="164"/>
      <c r="N150" s="164"/>
      <c r="O150" s="164"/>
      <c r="P150" s="164"/>
      <c r="Q150" s="164"/>
      <c r="R150" s="192">
        <f t="shared" si="51"/>
        <v>0</v>
      </c>
    </row>
    <row r="151" spans="1:18" s="175" customFormat="1" ht="11.25" outlineLevel="1">
      <c r="A151" s="217" t="s">
        <v>251</v>
      </c>
      <c r="B151" s="183"/>
      <c r="C151" s="184"/>
      <c r="D151" s="184"/>
      <c r="E151" s="185"/>
      <c r="F151" s="219"/>
      <c r="G151" s="220"/>
      <c r="H151" s="220"/>
      <c r="I151" s="220"/>
      <c r="J151" s="220"/>
      <c r="K151" s="220"/>
      <c r="L151" s="220"/>
      <c r="M151" s="220"/>
      <c r="N151" s="220"/>
      <c r="O151" s="220"/>
      <c r="P151" s="220"/>
      <c r="Q151" s="220" t="e">
        <f>+Q146</f>
        <v>#REF!</v>
      </c>
      <c r="R151" s="196" t="e">
        <f t="shared" si="51"/>
        <v>#REF!</v>
      </c>
    </row>
    <row r="152" spans="1:18" s="175" customFormat="1" ht="22.5" customHeight="1" outlineLevel="1">
      <c r="A152" s="218" t="s">
        <v>252</v>
      </c>
      <c r="B152" s="183"/>
      <c r="C152" s="184"/>
      <c r="D152" s="184"/>
      <c r="E152" s="185"/>
      <c r="F152" s="180"/>
      <c r="G152" s="181"/>
      <c r="H152" s="181"/>
      <c r="I152" s="181"/>
      <c r="J152" s="181"/>
      <c r="K152" s="181"/>
      <c r="L152" s="181"/>
      <c r="M152" s="181"/>
      <c r="N152" s="181"/>
      <c r="O152" s="181"/>
      <c r="P152" s="181"/>
      <c r="Q152" s="181"/>
      <c r="R152" s="182">
        <f t="shared" si="51"/>
        <v>0</v>
      </c>
    </row>
    <row r="153" spans="1:18" s="175" customFormat="1" ht="11.25" outlineLevel="1">
      <c r="A153" s="218" t="s">
        <v>253</v>
      </c>
      <c r="B153" s="183"/>
      <c r="C153" s="184"/>
      <c r="D153" s="184"/>
      <c r="E153" s="185"/>
      <c r="F153" s="180"/>
      <c r="G153" s="181"/>
      <c r="H153" s="181"/>
      <c r="I153" s="181"/>
      <c r="J153" s="181"/>
      <c r="K153" s="181"/>
      <c r="L153" s="181"/>
      <c r="M153" s="181"/>
      <c r="N153" s="181"/>
      <c r="O153" s="181"/>
      <c r="P153" s="181"/>
      <c r="Q153" s="181"/>
      <c r="R153" s="182">
        <f t="shared" si="51"/>
        <v>0</v>
      </c>
    </row>
    <row r="154" spans="1:18" s="175" customFormat="1" ht="11.25" outlineLevel="1">
      <c r="A154" s="218" t="s">
        <v>254</v>
      </c>
      <c r="B154" s="183"/>
      <c r="C154" s="184"/>
      <c r="D154" s="184"/>
      <c r="E154" s="185"/>
      <c r="F154" s="180"/>
      <c r="G154" s="181"/>
      <c r="H154" s="181"/>
      <c r="I154" s="181"/>
      <c r="J154" s="181"/>
      <c r="K154" s="181"/>
      <c r="L154" s="181"/>
      <c r="M154" s="181"/>
      <c r="N154" s="181"/>
      <c r="O154" s="227"/>
      <c r="P154" s="181"/>
      <c r="Q154" s="181"/>
      <c r="R154" s="182">
        <f t="shared" si="51"/>
        <v>0</v>
      </c>
    </row>
    <row r="155" spans="1:18" s="175" customFormat="1" ht="11.25" outlineLevel="1">
      <c r="A155" s="218" t="s">
        <v>255</v>
      </c>
      <c r="B155" s="183"/>
      <c r="C155" s="184"/>
      <c r="D155" s="184"/>
      <c r="E155" s="185"/>
      <c r="F155" s="180"/>
      <c r="G155" s="181"/>
      <c r="H155" s="181"/>
      <c r="I155" s="181"/>
      <c r="J155" s="181"/>
      <c r="K155" s="181"/>
      <c r="L155" s="181"/>
      <c r="M155" s="181"/>
      <c r="N155" s="181"/>
      <c r="O155" s="227"/>
      <c r="P155" s="181"/>
      <c r="Q155" s="181"/>
      <c r="R155" s="182">
        <f t="shared" si="51"/>
        <v>0</v>
      </c>
    </row>
    <row r="156" spans="1:18" s="175" customFormat="1" ht="11.25" outlineLevel="1">
      <c r="A156" s="221" t="s">
        <v>256</v>
      </c>
      <c r="B156" s="201"/>
      <c r="C156" s="202"/>
      <c r="D156" s="202"/>
      <c r="E156" s="203"/>
      <c r="F156" s="204" t="e">
        <f t="shared" ref="F156:Q156" si="52">(F146+G146)/2*F$3</f>
        <v>#REF!</v>
      </c>
      <c r="G156" s="204" t="e">
        <f t="shared" si="52"/>
        <v>#REF!</v>
      </c>
      <c r="H156" s="204" t="e">
        <f t="shared" si="52"/>
        <v>#REF!</v>
      </c>
      <c r="I156" s="204" t="e">
        <f t="shared" si="52"/>
        <v>#REF!</v>
      </c>
      <c r="J156" s="204" t="e">
        <f t="shared" si="52"/>
        <v>#REF!</v>
      </c>
      <c r="K156" s="204" t="e">
        <f t="shared" si="52"/>
        <v>#REF!</v>
      </c>
      <c r="L156" s="204" t="e">
        <f t="shared" si="52"/>
        <v>#REF!</v>
      </c>
      <c r="M156" s="204" t="e">
        <f t="shared" si="52"/>
        <v>#REF!</v>
      </c>
      <c r="N156" s="204" t="e">
        <f t="shared" si="52"/>
        <v>#REF!</v>
      </c>
      <c r="O156" s="204" t="e">
        <f t="shared" si="52"/>
        <v>#REF!</v>
      </c>
      <c r="P156" s="204" t="e">
        <f t="shared" si="52"/>
        <v>#REF!</v>
      </c>
      <c r="Q156" s="204" t="e">
        <f t="shared" si="52"/>
        <v>#REF!</v>
      </c>
      <c r="R156" s="205" t="e">
        <f t="shared" si="51"/>
        <v>#REF!</v>
      </c>
    </row>
    <row r="157" spans="1:18" s="175" customFormat="1" ht="12" outlineLevel="1" thickBot="1">
      <c r="A157" s="206" t="s">
        <v>257</v>
      </c>
      <c r="B157" s="207"/>
      <c r="C157" s="207"/>
      <c r="D157" s="208"/>
      <c r="E157" s="207"/>
      <c r="F157" s="209" t="e">
        <f t="shared" ref="F157:R157" si="53">F156/F$3</f>
        <v>#REF!</v>
      </c>
      <c r="G157" s="210" t="e">
        <f t="shared" si="53"/>
        <v>#REF!</v>
      </c>
      <c r="H157" s="210" t="e">
        <f t="shared" si="53"/>
        <v>#REF!</v>
      </c>
      <c r="I157" s="210" t="e">
        <f t="shared" si="53"/>
        <v>#REF!</v>
      </c>
      <c r="J157" s="210" t="e">
        <f t="shared" si="53"/>
        <v>#REF!</v>
      </c>
      <c r="K157" s="210" t="e">
        <f t="shared" si="53"/>
        <v>#REF!</v>
      </c>
      <c r="L157" s="210" t="e">
        <f t="shared" si="53"/>
        <v>#REF!</v>
      </c>
      <c r="M157" s="210" t="e">
        <f t="shared" si="53"/>
        <v>#REF!</v>
      </c>
      <c r="N157" s="210" t="e">
        <f t="shared" si="53"/>
        <v>#REF!</v>
      </c>
      <c r="O157" s="210" t="e">
        <f t="shared" si="53"/>
        <v>#REF!</v>
      </c>
      <c r="P157" s="210" t="e">
        <f t="shared" si="53"/>
        <v>#REF!</v>
      </c>
      <c r="Q157" s="210" t="e">
        <f t="shared" si="53"/>
        <v>#REF!</v>
      </c>
      <c r="R157" s="211" t="e">
        <f t="shared" si="53"/>
        <v>#REF!</v>
      </c>
    </row>
    <row r="158" spans="1:18" s="151" customFormat="1" ht="12" thickBot="1">
      <c r="A158" s="160" t="s">
        <v>270</v>
      </c>
      <c r="B158" s="161"/>
      <c r="C158" s="161"/>
      <c r="D158" s="161"/>
      <c r="E158" s="161"/>
      <c r="F158" s="161"/>
      <c r="G158" s="161"/>
      <c r="H158" s="161"/>
      <c r="I158" s="161"/>
      <c r="J158" s="161"/>
      <c r="K158" s="161"/>
      <c r="L158" s="161"/>
      <c r="M158" s="161"/>
      <c r="N158" s="161"/>
      <c r="O158" s="161"/>
      <c r="P158" s="161"/>
      <c r="Q158" s="161"/>
      <c r="R158" s="162"/>
    </row>
    <row r="159" spans="1:18" s="151" customFormat="1" ht="12" outlineLevel="1" thickBot="1">
      <c r="A159" s="163" t="s">
        <v>245</v>
      </c>
      <c r="B159" s="164"/>
      <c r="C159" s="164"/>
      <c r="D159" s="165"/>
      <c r="E159" s="166"/>
      <c r="F159" s="164"/>
      <c r="G159" s="164"/>
      <c r="H159" s="164"/>
      <c r="I159" s="164"/>
      <c r="J159" s="164"/>
      <c r="K159" s="164"/>
      <c r="L159" s="164"/>
      <c r="M159" s="164"/>
      <c r="N159" s="164"/>
      <c r="O159" s="164"/>
      <c r="P159" s="164"/>
      <c r="Q159" s="164"/>
      <c r="R159" s="167"/>
    </row>
    <row r="160" spans="1:18" s="175" customFormat="1" ht="11.25" outlineLevel="1">
      <c r="A160" s="168" t="s">
        <v>259</v>
      </c>
      <c r="B160" s="212"/>
      <c r="C160" s="212"/>
      <c r="D160" s="213"/>
      <c r="E160" s="225"/>
      <c r="F160" s="172">
        <f>B160</f>
        <v>0</v>
      </c>
      <c r="G160" s="173">
        <f t="shared" ref="G160:R160" si="54">(F160+F161+F162+F163-F165-F166-F167-F168-F169)</f>
        <v>0</v>
      </c>
      <c r="H160" s="173">
        <f t="shared" si="54"/>
        <v>0</v>
      </c>
      <c r="I160" s="173" t="e">
        <f t="shared" si="54"/>
        <v>#REF!</v>
      </c>
      <c r="J160" s="173" t="e">
        <f t="shared" si="54"/>
        <v>#REF!</v>
      </c>
      <c r="K160" s="173" t="e">
        <f t="shared" si="54"/>
        <v>#REF!</v>
      </c>
      <c r="L160" s="173" t="e">
        <f t="shared" si="54"/>
        <v>#REF!</v>
      </c>
      <c r="M160" s="173" t="e">
        <f t="shared" si="54"/>
        <v>#REF!</v>
      </c>
      <c r="N160" s="173" t="e">
        <f t="shared" si="54"/>
        <v>#REF!</v>
      </c>
      <c r="O160" s="173" t="e">
        <f t="shared" si="54"/>
        <v>#REF!</v>
      </c>
      <c r="P160" s="173" t="e">
        <f t="shared" si="54"/>
        <v>#REF!</v>
      </c>
      <c r="Q160" s="173" t="e">
        <f t="shared" si="54"/>
        <v>#REF!</v>
      </c>
      <c r="R160" s="174" t="e">
        <f t="shared" si="54"/>
        <v>#REF!</v>
      </c>
    </row>
    <row r="161" spans="1:18" s="175" customFormat="1" ht="11.25" outlineLevel="1">
      <c r="A161" s="214" t="s">
        <v>271</v>
      </c>
      <c r="B161" s="177"/>
      <c r="C161" s="178"/>
      <c r="D161" s="178"/>
      <c r="E161" s="179"/>
      <c r="F161" s="180"/>
      <c r="G161" s="181"/>
      <c r="H161" s="181" t="e">
        <f>ROUNDDOWN(((H34+H62)/2)*85%,0)</f>
        <v>#REF!</v>
      </c>
      <c r="I161" s="181"/>
      <c r="J161" s="181"/>
      <c r="K161" s="181"/>
      <c r="L161" s="181"/>
      <c r="M161" s="181"/>
      <c r="N161" s="181"/>
      <c r="O161" s="181"/>
      <c r="P161" s="181"/>
      <c r="Q161" s="181"/>
      <c r="R161" s="182" t="e">
        <f t="shared" ref="R161:R170" si="55">SUM(F161:Q161)</f>
        <v>#REF!</v>
      </c>
    </row>
    <row r="162" spans="1:18" s="175" customFormat="1" ht="11.25" outlineLevel="1">
      <c r="A162" s="214" t="s">
        <v>248</v>
      </c>
      <c r="B162" s="183"/>
      <c r="C162" s="184"/>
      <c r="D162" s="184"/>
      <c r="E162" s="185"/>
      <c r="F162" s="180"/>
      <c r="G162" s="181"/>
      <c r="H162" s="181"/>
      <c r="I162" s="181"/>
      <c r="J162" s="181"/>
      <c r="K162" s="181"/>
      <c r="L162" s="181"/>
      <c r="M162" s="181"/>
      <c r="N162" s="181"/>
      <c r="O162" s="181"/>
      <c r="P162" s="181"/>
      <c r="Q162" s="181"/>
      <c r="R162" s="182">
        <f t="shared" si="55"/>
        <v>0</v>
      </c>
    </row>
    <row r="163" spans="1:18" s="175" customFormat="1" ht="12" outlineLevel="1" thickBot="1">
      <c r="A163" s="215" t="s">
        <v>249</v>
      </c>
      <c r="B163" s="183"/>
      <c r="C163" s="184"/>
      <c r="D163" s="184"/>
      <c r="E163" s="185"/>
      <c r="F163" s="180"/>
      <c r="G163" s="181"/>
      <c r="H163" s="181"/>
      <c r="I163" s="181"/>
      <c r="J163" s="181"/>
      <c r="K163" s="181"/>
      <c r="L163" s="181"/>
      <c r="M163" s="181"/>
      <c r="N163" s="181"/>
      <c r="O163" s="181"/>
      <c r="P163" s="181"/>
      <c r="Q163" s="181"/>
      <c r="R163" s="182">
        <f t="shared" si="55"/>
        <v>0</v>
      </c>
    </row>
    <row r="164" spans="1:18" s="151" customFormat="1" ht="12" outlineLevel="1" thickBot="1">
      <c r="A164" s="216" t="s">
        <v>250</v>
      </c>
      <c r="B164" s="183"/>
      <c r="C164" s="184"/>
      <c r="D164" s="184"/>
      <c r="E164" s="185"/>
      <c r="F164" s="191"/>
      <c r="G164" s="164"/>
      <c r="H164" s="164"/>
      <c r="I164" s="164"/>
      <c r="J164" s="164"/>
      <c r="K164" s="164"/>
      <c r="L164" s="164"/>
      <c r="M164" s="164"/>
      <c r="N164" s="164"/>
      <c r="O164" s="164"/>
      <c r="P164" s="164"/>
      <c r="Q164" s="164"/>
      <c r="R164" s="192">
        <f t="shared" si="55"/>
        <v>0</v>
      </c>
    </row>
    <row r="165" spans="1:18" s="175" customFormat="1" ht="11.25" outlineLevel="1">
      <c r="A165" s="217" t="s">
        <v>251</v>
      </c>
      <c r="B165" s="183"/>
      <c r="C165" s="184"/>
      <c r="D165" s="184"/>
      <c r="E165" s="185"/>
      <c r="F165" s="180"/>
      <c r="G165" s="181"/>
      <c r="H165" s="181"/>
      <c r="I165" s="181"/>
      <c r="J165" s="181"/>
      <c r="K165" s="181"/>
      <c r="L165" s="181"/>
      <c r="M165" s="181"/>
      <c r="N165" s="181"/>
      <c r="O165" s="181"/>
      <c r="P165" s="181"/>
      <c r="Q165" s="181" t="e">
        <f>+Q160</f>
        <v>#REF!</v>
      </c>
      <c r="R165" s="182" t="e">
        <f t="shared" si="55"/>
        <v>#REF!</v>
      </c>
    </row>
    <row r="166" spans="1:18" s="175" customFormat="1" ht="11.25" outlineLevel="1">
      <c r="A166" s="218" t="s">
        <v>252</v>
      </c>
      <c r="B166" s="183"/>
      <c r="C166" s="184"/>
      <c r="D166" s="184"/>
      <c r="E166" s="185"/>
      <c r="F166" s="180"/>
      <c r="G166" s="181"/>
      <c r="H166" s="181"/>
      <c r="I166" s="181"/>
      <c r="J166" s="181"/>
      <c r="K166" s="181"/>
      <c r="L166" s="181"/>
      <c r="M166" s="181"/>
      <c r="N166" s="181"/>
      <c r="O166" s="181"/>
      <c r="P166" s="181"/>
      <c r="Q166" s="181"/>
      <c r="R166" s="182">
        <f t="shared" si="55"/>
        <v>0</v>
      </c>
    </row>
    <row r="167" spans="1:18" s="175" customFormat="1" ht="11.25" outlineLevel="1">
      <c r="A167" s="218" t="s">
        <v>253</v>
      </c>
      <c r="B167" s="183"/>
      <c r="C167" s="184"/>
      <c r="D167" s="184"/>
      <c r="E167" s="185"/>
      <c r="F167" s="180"/>
      <c r="G167" s="181"/>
      <c r="H167" s="181"/>
      <c r="I167" s="181"/>
      <c r="J167" s="181"/>
      <c r="K167" s="181"/>
      <c r="L167" s="181"/>
      <c r="M167" s="181"/>
      <c r="N167" s="181"/>
      <c r="O167" s="181"/>
      <c r="P167" s="181"/>
      <c r="Q167" s="181"/>
      <c r="R167" s="182">
        <f t="shared" si="55"/>
        <v>0</v>
      </c>
    </row>
    <row r="168" spans="1:18" s="175" customFormat="1" ht="11.25" outlineLevel="1">
      <c r="A168" s="218" t="s">
        <v>254</v>
      </c>
      <c r="B168" s="183"/>
      <c r="C168" s="184"/>
      <c r="D168" s="184"/>
      <c r="E168" s="185"/>
      <c r="F168" s="230"/>
      <c r="G168" s="181"/>
      <c r="H168" s="181"/>
      <c r="I168" s="181"/>
      <c r="J168" s="181"/>
      <c r="K168" s="181"/>
      <c r="L168" s="181"/>
      <c r="M168" s="181"/>
      <c r="N168" s="181"/>
      <c r="O168" s="181"/>
      <c r="P168" s="181"/>
      <c r="Q168" s="181"/>
      <c r="R168" s="182">
        <f t="shared" si="55"/>
        <v>0</v>
      </c>
    </row>
    <row r="169" spans="1:18" s="175" customFormat="1" ht="11.25" outlineLevel="1">
      <c r="A169" s="218" t="s">
        <v>255</v>
      </c>
      <c r="B169" s="183"/>
      <c r="C169" s="184"/>
      <c r="D169" s="184"/>
      <c r="E169" s="185"/>
      <c r="F169" s="180"/>
      <c r="G169" s="181"/>
      <c r="H169" s="181"/>
      <c r="I169" s="181"/>
      <c r="J169" s="181"/>
      <c r="K169" s="181"/>
      <c r="L169" s="181"/>
      <c r="M169" s="181"/>
      <c r="N169" s="181"/>
      <c r="O169" s="181"/>
      <c r="P169" s="181"/>
      <c r="Q169" s="181"/>
      <c r="R169" s="182">
        <f t="shared" si="55"/>
        <v>0</v>
      </c>
    </row>
    <row r="170" spans="1:18" s="175" customFormat="1" ht="11.25" outlineLevel="1">
      <c r="A170" s="221" t="s">
        <v>256</v>
      </c>
      <c r="B170" s="201"/>
      <c r="C170" s="202"/>
      <c r="D170" s="202"/>
      <c r="E170" s="203"/>
      <c r="F170" s="204">
        <f t="shared" ref="F170:Q170" si="56">(F160+G160)/2*F$3</f>
        <v>0</v>
      </c>
      <c r="G170" s="204">
        <f t="shared" si="56"/>
        <v>0</v>
      </c>
      <c r="H170" s="204" t="e">
        <f t="shared" si="56"/>
        <v>#REF!</v>
      </c>
      <c r="I170" s="204" t="e">
        <f t="shared" si="56"/>
        <v>#REF!</v>
      </c>
      <c r="J170" s="204" t="e">
        <f t="shared" si="56"/>
        <v>#REF!</v>
      </c>
      <c r="K170" s="204" t="e">
        <f t="shared" si="56"/>
        <v>#REF!</v>
      </c>
      <c r="L170" s="204" t="e">
        <f t="shared" si="56"/>
        <v>#REF!</v>
      </c>
      <c r="M170" s="204" t="e">
        <f t="shared" si="56"/>
        <v>#REF!</v>
      </c>
      <c r="N170" s="204" t="e">
        <f t="shared" si="56"/>
        <v>#REF!</v>
      </c>
      <c r="O170" s="204" t="e">
        <f t="shared" si="56"/>
        <v>#REF!</v>
      </c>
      <c r="P170" s="204" t="e">
        <f t="shared" si="56"/>
        <v>#REF!</v>
      </c>
      <c r="Q170" s="204" t="e">
        <f t="shared" si="56"/>
        <v>#REF!</v>
      </c>
      <c r="R170" s="205" t="e">
        <f t="shared" si="55"/>
        <v>#REF!</v>
      </c>
    </row>
    <row r="171" spans="1:18" s="175" customFormat="1" ht="12" outlineLevel="1" thickBot="1">
      <c r="A171" s="206" t="s">
        <v>257</v>
      </c>
      <c r="B171" s="207"/>
      <c r="C171" s="207"/>
      <c r="D171" s="208"/>
      <c r="E171" s="207"/>
      <c r="F171" s="209">
        <f t="shared" ref="F171:Q171" si="57">F170/F$3</f>
        <v>0</v>
      </c>
      <c r="G171" s="210">
        <f t="shared" si="57"/>
        <v>0</v>
      </c>
      <c r="H171" s="210" t="e">
        <f t="shared" si="57"/>
        <v>#REF!</v>
      </c>
      <c r="I171" s="210" t="e">
        <f t="shared" si="57"/>
        <v>#REF!</v>
      </c>
      <c r="J171" s="210" t="e">
        <f t="shared" si="57"/>
        <v>#REF!</v>
      </c>
      <c r="K171" s="210" t="e">
        <f t="shared" si="57"/>
        <v>#REF!</v>
      </c>
      <c r="L171" s="210" t="e">
        <f t="shared" si="57"/>
        <v>#REF!</v>
      </c>
      <c r="M171" s="210" t="e">
        <f t="shared" si="57"/>
        <v>#REF!</v>
      </c>
      <c r="N171" s="210" t="e">
        <f t="shared" si="57"/>
        <v>#REF!</v>
      </c>
      <c r="O171" s="210" t="e">
        <f t="shared" si="57"/>
        <v>#REF!</v>
      </c>
      <c r="P171" s="210" t="e">
        <f t="shared" si="57"/>
        <v>#REF!</v>
      </c>
      <c r="Q171" s="210" t="e">
        <f t="shared" si="57"/>
        <v>#REF!</v>
      </c>
      <c r="R171" s="211" t="e">
        <f>R170/R$3</f>
        <v>#REF!</v>
      </c>
    </row>
    <row r="172" spans="1:18" s="151" customFormat="1" ht="12" thickBot="1">
      <c r="A172" s="160" t="s">
        <v>272</v>
      </c>
      <c r="B172" s="161"/>
      <c r="C172" s="161"/>
      <c r="D172" s="161"/>
      <c r="E172" s="161"/>
      <c r="F172" s="161"/>
      <c r="G172" s="161"/>
      <c r="H172" s="161"/>
      <c r="I172" s="161"/>
      <c r="J172" s="161"/>
      <c r="K172" s="161"/>
      <c r="L172" s="161"/>
      <c r="M172" s="161"/>
      <c r="N172" s="161"/>
      <c r="O172" s="161"/>
      <c r="P172" s="161"/>
      <c r="Q172" s="161"/>
      <c r="R172" s="162"/>
    </row>
    <row r="173" spans="1:18" s="151" customFormat="1" ht="12" outlineLevel="1" thickBot="1">
      <c r="A173" s="163" t="s">
        <v>245</v>
      </c>
      <c r="B173" s="164"/>
      <c r="C173" s="164"/>
      <c r="D173" s="165"/>
      <c r="E173" s="166"/>
      <c r="F173" s="164"/>
      <c r="G173" s="164"/>
      <c r="H173" s="164"/>
      <c r="I173" s="164"/>
      <c r="J173" s="164"/>
      <c r="K173" s="164"/>
      <c r="L173" s="164"/>
      <c r="M173" s="164"/>
      <c r="N173" s="164"/>
      <c r="O173" s="164"/>
      <c r="P173" s="164"/>
      <c r="Q173" s="164"/>
      <c r="R173" s="167"/>
    </row>
    <row r="174" spans="1:18" s="175" customFormat="1" ht="11.25" outlineLevel="1">
      <c r="A174" s="168" t="s">
        <v>259</v>
      </c>
      <c r="B174" s="212"/>
      <c r="C174" s="212"/>
      <c r="D174" s="213"/>
      <c r="E174" s="225"/>
      <c r="F174" s="172">
        <f>B174</f>
        <v>0</v>
      </c>
      <c r="G174" s="173">
        <f t="shared" ref="G174:R174" si="58">(F174+F175+F176+F177-F179-F180-F181-F182-F183)</f>
        <v>0</v>
      </c>
      <c r="H174" s="173">
        <f t="shared" si="58"/>
        <v>0</v>
      </c>
      <c r="I174" s="173" t="e">
        <f t="shared" si="58"/>
        <v>#REF!</v>
      </c>
      <c r="J174" s="173" t="e">
        <f t="shared" si="58"/>
        <v>#REF!</v>
      </c>
      <c r="K174" s="173" t="e">
        <f t="shared" si="58"/>
        <v>#REF!</v>
      </c>
      <c r="L174" s="173" t="e">
        <f t="shared" si="58"/>
        <v>#REF!</v>
      </c>
      <c r="M174" s="173" t="e">
        <f t="shared" si="58"/>
        <v>#REF!</v>
      </c>
      <c r="N174" s="173" t="e">
        <f t="shared" si="58"/>
        <v>#REF!</v>
      </c>
      <c r="O174" s="173" t="e">
        <f t="shared" si="58"/>
        <v>#REF!</v>
      </c>
      <c r="P174" s="173" t="e">
        <f t="shared" si="58"/>
        <v>#REF!</v>
      </c>
      <c r="Q174" s="173" t="e">
        <f t="shared" si="58"/>
        <v>#REF!</v>
      </c>
      <c r="R174" s="174" t="e">
        <f t="shared" si="58"/>
        <v>#REF!</v>
      </c>
    </row>
    <row r="175" spans="1:18" s="175" customFormat="1" ht="11.25" outlineLevel="1">
      <c r="A175" s="214" t="s">
        <v>271</v>
      </c>
      <c r="B175" s="177"/>
      <c r="C175" s="178"/>
      <c r="D175" s="178"/>
      <c r="E175" s="179"/>
      <c r="F175" s="180"/>
      <c r="G175" s="181"/>
      <c r="H175" s="181" t="e">
        <f>ROUNDDOWN(((H34+H62)/2)*85%,0)</f>
        <v>#REF!</v>
      </c>
      <c r="I175" s="181"/>
      <c r="J175" s="181"/>
      <c r="K175" s="181"/>
      <c r="L175" s="181"/>
      <c r="M175" s="181"/>
      <c r="N175" s="181"/>
      <c r="O175" s="181"/>
      <c r="P175" s="181"/>
      <c r="Q175" s="181"/>
      <c r="R175" s="182" t="e">
        <f t="shared" ref="R175:R184" si="59">SUM(F175:Q175)</f>
        <v>#REF!</v>
      </c>
    </row>
    <row r="176" spans="1:18" s="175" customFormat="1" ht="11.25" outlineLevel="1">
      <c r="A176" s="214" t="s">
        <v>248</v>
      </c>
      <c r="B176" s="183"/>
      <c r="C176" s="184"/>
      <c r="D176" s="184"/>
      <c r="E176" s="185"/>
      <c r="F176" s="180"/>
      <c r="G176" s="181"/>
      <c r="H176" s="181"/>
      <c r="I176" s="181"/>
      <c r="J176" s="181"/>
      <c r="K176" s="181"/>
      <c r="L176" s="181"/>
      <c r="M176" s="181"/>
      <c r="N176" s="181"/>
      <c r="O176" s="181"/>
      <c r="P176" s="181"/>
      <c r="Q176" s="181"/>
      <c r="R176" s="182">
        <f t="shared" si="59"/>
        <v>0</v>
      </c>
    </row>
    <row r="177" spans="1:18" s="175" customFormat="1" ht="12" outlineLevel="1" thickBot="1">
      <c r="A177" s="215" t="s">
        <v>249</v>
      </c>
      <c r="B177" s="183"/>
      <c r="C177" s="184"/>
      <c r="D177" s="184"/>
      <c r="E177" s="185"/>
      <c r="F177" s="180"/>
      <c r="G177" s="181"/>
      <c r="H177" s="181"/>
      <c r="I177" s="181"/>
      <c r="J177" s="181"/>
      <c r="K177" s="181"/>
      <c r="L177" s="181"/>
      <c r="M177" s="181"/>
      <c r="N177" s="181"/>
      <c r="O177" s="181"/>
      <c r="P177" s="181"/>
      <c r="Q177" s="181"/>
      <c r="R177" s="182">
        <f t="shared" si="59"/>
        <v>0</v>
      </c>
    </row>
    <row r="178" spans="1:18" s="151" customFormat="1" ht="12" outlineLevel="1" thickBot="1">
      <c r="A178" s="216" t="s">
        <v>250</v>
      </c>
      <c r="B178" s="183"/>
      <c r="C178" s="184"/>
      <c r="D178" s="184"/>
      <c r="E178" s="185"/>
      <c r="F178" s="191"/>
      <c r="G178" s="164"/>
      <c r="H178" s="164"/>
      <c r="I178" s="164"/>
      <c r="J178" s="164"/>
      <c r="K178" s="164"/>
      <c r="L178" s="164"/>
      <c r="M178" s="164"/>
      <c r="N178" s="164"/>
      <c r="O178" s="164"/>
      <c r="P178" s="164"/>
      <c r="Q178" s="164"/>
      <c r="R178" s="192">
        <f t="shared" si="59"/>
        <v>0</v>
      </c>
    </row>
    <row r="179" spans="1:18" s="175" customFormat="1" ht="11.25" outlineLevel="1">
      <c r="A179" s="217" t="s">
        <v>251</v>
      </c>
      <c r="B179" s="183"/>
      <c r="C179" s="184"/>
      <c r="D179" s="184"/>
      <c r="E179" s="185"/>
      <c r="F179" s="180"/>
      <c r="G179" s="181"/>
      <c r="H179" s="181"/>
      <c r="I179" s="181"/>
      <c r="J179" s="181"/>
      <c r="K179" s="181"/>
      <c r="L179" s="181"/>
      <c r="M179" s="181"/>
      <c r="N179" s="181"/>
      <c r="O179" s="181"/>
      <c r="P179" s="181"/>
      <c r="Q179" s="181" t="e">
        <f>+Q174</f>
        <v>#REF!</v>
      </c>
      <c r="R179" s="182" t="e">
        <f t="shared" si="59"/>
        <v>#REF!</v>
      </c>
    </row>
    <row r="180" spans="1:18" s="175" customFormat="1" ht="11.25" outlineLevel="1">
      <c r="A180" s="218" t="s">
        <v>252</v>
      </c>
      <c r="B180" s="183"/>
      <c r="C180" s="184"/>
      <c r="D180" s="184"/>
      <c r="E180" s="185"/>
      <c r="F180" s="180"/>
      <c r="G180" s="181"/>
      <c r="H180" s="181"/>
      <c r="I180" s="181"/>
      <c r="J180" s="181"/>
      <c r="K180" s="181"/>
      <c r="L180" s="181"/>
      <c r="M180" s="181"/>
      <c r="N180" s="181"/>
      <c r="O180" s="181"/>
      <c r="P180" s="181"/>
      <c r="Q180" s="181"/>
      <c r="R180" s="182">
        <f t="shared" si="59"/>
        <v>0</v>
      </c>
    </row>
    <row r="181" spans="1:18" s="175" customFormat="1" ht="11.25" outlineLevel="1">
      <c r="A181" s="218" t="s">
        <v>307</v>
      </c>
      <c r="B181" s="183"/>
      <c r="C181" s="184"/>
      <c r="D181" s="184"/>
      <c r="E181" s="185"/>
      <c r="F181" s="180"/>
      <c r="G181" s="181"/>
      <c r="H181" s="181"/>
      <c r="I181" s="181"/>
      <c r="J181" s="181"/>
      <c r="K181" s="181"/>
      <c r="L181" s="181"/>
      <c r="M181" s="181"/>
      <c r="N181" s="181"/>
      <c r="O181" s="181"/>
      <c r="P181" s="181"/>
      <c r="Q181" s="181"/>
      <c r="R181" s="182">
        <f t="shared" si="59"/>
        <v>0</v>
      </c>
    </row>
    <row r="182" spans="1:18" s="175" customFormat="1" ht="11.25" outlineLevel="1">
      <c r="A182" s="218" t="s">
        <v>254</v>
      </c>
      <c r="B182" s="183"/>
      <c r="C182" s="184"/>
      <c r="D182" s="184"/>
      <c r="E182" s="185"/>
      <c r="F182" s="230"/>
      <c r="G182" s="181"/>
      <c r="H182" s="181"/>
      <c r="I182" s="181"/>
      <c r="J182" s="181"/>
      <c r="K182" s="181"/>
      <c r="L182" s="181"/>
      <c r="M182" s="181"/>
      <c r="N182" s="181"/>
      <c r="O182" s="181"/>
      <c r="P182" s="181"/>
      <c r="Q182" s="181"/>
      <c r="R182" s="182">
        <f t="shared" si="59"/>
        <v>0</v>
      </c>
    </row>
    <row r="183" spans="1:18" s="175" customFormat="1" ht="11.25" outlineLevel="1">
      <c r="A183" s="218" t="s">
        <v>255</v>
      </c>
      <c r="B183" s="183"/>
      <c r="C183" s="184"/>
      <c r="D183" s="184"/>
      <c r="E183" s="185"/>
      <c r="F183" s="180"/>
      <c r="G183" s="181"/>
      <c r="H183" s="181"/>
      <c r="I183" s="181"/>
      <c r="J183" s="181"/>
      <c r="K183" s="181"/>
      <c r="L183" s="181"/>
      <c r="M183" s="181"/>
      <c r="N183" s="181"/>
      <c r="O183" s="181"/>
      <c r="P183" s="181"/>
      <c r="Q183" s="181"/>
      <c r="R183" s="182">
        <f t="shared" si="59"/>
        <v>0</v>
      </c>
    </row>
    <row r="184" spans="1:18" s="175" customFormat="1" ht="11.25" outlineLevel="1">
      <c r="A184" s="221" t="s">
        <v>256</v>
      </c>
      <c r="B184" s="201"/>
      <c r="C184" s="202"/>
      <c r="D184" s="202"/>
      <c r="E184" s="203"/>
      <c r="F184" s="204">
        <f t="shared" ref="F184:Q184" si="60">(F174+G174)/2*F$3</f>
        <v>0</v>
      </c>
      <c r="G184" s="204">
        <f t="shared" si="60"/>
        <v>0</v>
      </c>
      <c r="H184" s="204" t="e">
        <f t="shared" si="60"/>
        <v>#REF!</v>
      </c>
      <c r="I184" s="204" t="e">
        <f t="shared" si="60"/>
        <v>#REF!</v>
      </c>
      <c r="J184" s="204" t="e">
        <f t="shared" si="60"/>
        <v>#REF!</v>
      </c>
      <c r="K184" s="204" t="e">
        <f t="shared" si="60"/>
        <v>#REF!</v>
      </c>
      <c r="L184" s="204" t="e">
        <f t="shared" si="60"/>
        <v>#REF!</v>
      </c>
      <c r="M184" s="204" t="e">
        <f t="shared" si="60"/>
        <v>#REF!</v>
      </c>
      <c r="N184" s="204" t="e">
        <f t="shared" si="60"/>
        <v>#REF!</v>
      </c>
      <c r="O184" s="204" t="e">
        <f t="shared" si="60"/>
        <v>#REF!</v>
      </c>
      <c r="P184" s="204" t="e">
        <f t="shared" si="60"/>
        <v>#REF!</v>
      </c>
      <c r="Q184" s="204" t="e">
        <f t="shared" si="60"/>
        <v>#REF!</v>
      </c>
      <c r="R184" s="205" t="e">
        <f t="shared" si="59"/>
        <v>#REF!</v>
      </c>
    </row>
    <row r="185" spans="1:18" s="175" customFormat="1" ht="12" outlineLevel="1" thickBot="1">
      <c r="A185" s="206" t="s">
        <v>257</v>
      </c>
      <c r="B185" s="207"/>
      <c r="C185" s="207"/>
      <c r="D185" s="208"/>
      <c r="E185" s="207"/>
      <c r="F185" s="209">
        <f t="shared" ref="F185:R185" si="61">F184/F$3</f>
        <v>0</v>
      </c>
      <c r="G185" s="210">
        <f t="shared" si="61"/>
        <v>0</v>
      </c>
      <c r="H185" s="210" t="e">
        <f t="shared" si="61"/>
        <v>#REF!</v>
      </c>
      <c r="I185" s="210" t="e">
        <f t="shared" si="61"/>
        <v>#REF!</v>
      </c>
      <c r="J185" s="210" t="e">
        <f t="shared" si="61"/>
        <v>#REF!</v>
      </c>
      <c r="K185" s="210" t="e">
        <f t="shared" si="61"/>
        <v>#REF!</v>
      </c>
      <c r="L185" s="210" t="e">
        <f t="shared" si="61"/>
        <v>#REF!</v>
      </c>
      <c r="M185" s="210" t="e">
        <f t="shared" si="61"/>
        <v>#REF!</v>
      </c>
      <c r="N185" s="210" t="e">
        <f t="shared" si="61"/>
        <v>#REF!</v>
      </c>
      <c r="O185" s="210" t="e">
        <f t="shared" si="61"/>
        <v>#REF!</v>
      </c>
      <c r="P185" s="210" t="e">
        <f t="shared" si="61"/>
        <v>#REF!</v>
      </c>
      <c r="Q185" s="210" t="e">
        <f t="shared" si="61"/>
        <v>#REF!</v>
      </c>
      <c r="R185" s="211" t="e">
        <f t="shared" si="61"/>
        <v>#REF!</v>
      </c>
    </row>
    <row r="186" spans="1:18" s="237" customFormat="1" ht="11.25">
      <c r="A186" s="231"/>
      <c r="B186" s="232"/>
      <c r="C186" s="232"/>
      <c r="D186" s="233"/>
      <c r="E186" s="232"/>
      <c r="F186" s="234"/>
      <c r="G186" s="235"/>
      <c r="H186" s="235"/>
      <c r="I186" s="235"/>
      <c r="J186" s="235"/>
      <c r="K186" s="235"/>
      <c r="L186" s="235"/>
      <c r="M186" s="235"/>
      <c r="N186" s="235"/>
      <c r="O186" s="235"/>
      <c r="P186" s="235"/>
      <c r="Q186" s="235"/>
      <c r="R186" s="236"/>
    </row>
    <row r="187" spans="1:18">
      <c r="A187" s="238" t="s">
        <v>273</v>
      </c>
      <c r="B187" s="239"/>
      <c r="C187" s="240"/>
      <c r="D187" s="241"/>
      <c r="E187" s="242"/>
      <c r="F187" s="243" t="e">
        <f>SUM(F16,F30,F44,F58,F72,F86,F100,F114,F128,F142,F156,F170,F184)</f>
        <v>#REF!</v>
      </c>
      <c r="G187" s="244" t="e">
        <f t="shared" ref="G187:R187" si="62">SUM(G16,G30,G44,G58,G72,G86,G100,G114,G128,G142,G156,G170,G184)</f>
        <v>#REF!</v>
      </c>
      <c r="H187" s="244" t="e">
        <f t="shared" si="62"/>
        <v>#REF!</v>
      </c>
      <c r="I187" s="244" t="e">
        <f t="shared" si="62"/>
        <v>#REF!</v>
      </c>
      <c r="J187" s="244" t="e">
        <f t="shared" si="62"/>
        <v>#REF!</v>
      </c>
      <c r="K187" s="244" t="e">
        <f t="shared" si="62"/>
        <v>#REF!</v>
      </c>
      <c r="L187" s="244" t="e">
        <f t="shared" si="62"/>
        <v>#REF!</v>
      </c>
      <c r="M187" s="244" t="e">
        <f t="shared" si="62"/>
        <v>#REF!</v>
      </c>
      <c r="N187" s="244" t="e">
        <f t="shared" si="62"/>
        <v>#REF!</v>
      </c>
      <c r="O187" s="244" t="e">
        <f t="shared" si="62"/>
        <v>#REF!</v>
      </c>
      <c r="P187" s="244" t="e">
        <f t="shared" si="62"/>
        <v>#REF!</v>
      </c>
      <c r="Q187" s="244" t="e">
        <f t="shared" si="62"/>
        <v>#REF!</v>
      </c>
      <c r="R187" s="245" t="e">
        <f t="shared" si="62"/>
        <v>#REF!</v>
      </c>
    </row>
    <row r="188" spans="1:18" s="175" customFormat="1" ht="11.25">
      <c r="A188" s="246" t="s">
        <v>257</v>
      </c>
      <c r="B188" s="247"/>
      <c r="C188" s="247"/>
      <c r="D188" s="248"/>
      <c r="E188" s="247"/>
      <c r="F188" s="249" t="e">
        <f>F187/F$3</f>
        <v>#REF!</v>
      </c>
      <c r="G188" s="250" t="e">
        <f t="shared" ref="G188:R188" si="63">G187/G$3</f>
        <v>#REF!</v>
      </c>
      <c r="H188" s="250" t="e">
        <f t="shared" si="63"/>
        <v>#REF!</v>
      </c>
      <c r="I188" s="250" t="e">
        <f t="shared" si="63"/>
        <v>#REF!</v>
      </c>
      <c r="J188" s="250" t="e">
        <f t="shared" si="63"/>
        <v>#REF!</v>
      </c>
      <c r="K188" s="250" t="e">
        <f t="shared" si="63"/>
        <v>#REF!</v>
      </c>
      <c r="L188" s="250" t="e">
        <f t="shared" si="63"/>
        <v>#REF!</v>
      </c>
      <c r="M188" s="250" t="e">
        <f t="shared" si="63"/>
        <v>#REF!</v>
      </c>
      <c r="N188" s="250" t="e">
        <f t="shared" si="63"/>
        <v>#REF!</v>
      </c>
      <c r="O188" s="250" t="e">
        <f t="shared" si="63"/>
        <v>#REF!</v>
      </c>
      <c r="P188" s="250" t="e">
        <f t="shared" si="63"/>
        <v>#REF!</v>
      </c>
      <c r="Q188" s="250" t="e">
        <f t="shared" si="63"/>
        <v>#REF!</v>
      </c>
      <c r="R188" s="251" t="e">
        <f t="shared" si="63"/>
        <v>#REF!</v>
      </c>
    </row>
    <row r="189" spans="1:18" ht="13.5" thickBot="1">
      <c r="A189" s="252" t="s">
        <v>274</v>
      </c>
      <c r="B189" s="253" t="e">
        <f>SUM(B6,B20,B34,B48,B62,B76,B90,B104,B118,B132,B146,B160,B174)</f>
        <v>#REF!</v>
      </c>
      <c r="C189" s="253">
        <f>SUM(C6,C20,C34,C48,C62,C76,C90,C104,C118,C132,C146,C160,C174)</f>
        <v>0</v>
      </c>
      <c r="D189" s="254" t="e">
        <f>SUM(D6,D20,D34,D48,D62,D76,D90,D104,D118,D132,D146,D160,D174)</f>
        <v>#REF!</v>
      </c>
      <c r="E189" s="255" t="e">
        <f>SUM(E6,E20,E34,E48,E62,E76,E90,E104,E118,E132,E146,E160,E174)</f>
        <v>#REF!</v>
      </c>
      <c r="F189" s="256" t="e">
        <f>SUM(F6,F20,F34,F48,F62,F76,F90,F104,F118,F132,F146,F160,F174)</f>
        <v>#REF!</v>
      </c>
      <c r="G189" s="257" t="e">
        <f t="shared" ref="G189:R189" si="64">SUM(G6,G20,G34,G48,G62,G76,G90,G104,G118,G132,G146,G160,G174)</f>
        <v>#REF!</v>
      </c>
      <c r="H189" s="257" t="e">
        <f t="shared" si="64"/>
        <v>#REF!</v>
      </c>
      <c r="I189" s="257" t="e">
        <f t="shared" si="64"/>
        <v>#REF!</v>
      </c>
      <c r="J189" s="257" t="e">
        <f t="shared" si="64"/>
        <v>#REF!</v>
      </c>
      <c r="K189" s="257" t="e">
        <f t="shared" si="64"/>
        <v>#REF!</v>
      </c>
      <c r="L189" s="257" t="e">
        <f t="shared" si="64"/>
        <v>#REF!</v>
      </c>
      <c r="M189" s="257" t="e">
        <f t="shared" si="64"/>
        <v>#REF!</v>
      </c>
      <c r="N189" s="257" t="e">
        <f t="shared" si="64"/>
        <v>#REF!</v>
      </c>
      <c r="O189" s="257" t="e">
        <f t="shared" si="64"/>
        <v>#REF!</v>
      </c>
      <c r="P189" s="257" t="e">
        <f t="shared" si="64"/>
        <v>#REF!</v>
      </c>
      <c r="Q189" s="257" t="e">
        <f t="shared" si="64"/>
        <v>#REF!</v>
      </c>
      <c r="R189" s="258" t="e">
        <f t="shared" si="64"/>
        <v>#REF!</v>
      </c>
    </row>
    <row r="190" spans="1:18" s="264" customFormat="1" ht="11.25" hidden="1">
      <c r="A190" s="259">
        <v>38139</v>
      </c>
      <c r="B190" s="260"/>
      <c r="C190" s="260"/>
      <c r="D190" s="261"/>
      <c r="E190" s="262" t="s">
        <v>275</v>
      </c>
      <c r="F190" s="260">
        <f t="shared" ref="F190:N190" si="65">(F175-F179-F180-F181-F182-F183+F161-F169-F168-F167-F166-F165)*$D$216</f>
        <v>0</v>
      </c>
      <c r="G190" s="260">
        <f t="shared" si="65"/>
        <v>0</v>
      </c>
      <c r="H190" s="260" t="e">
        <f t="shared" si="65"/>
        <v>#REF!</v>
      </c>
      <c r="I190" s="260">
        <f t="shared" si="65"/>
        <v>0</v>
      </c>
      <c r="J190" s="260">
        <f t="shared" si="65"/>
        <v>0</v>
      </c>
      <c r="K190" s="260">
        <f t="shared" si="65"/>
        <v>0</v>
      </c>
      <c r="L190" s="260">
        <f t="shared" si="65"/>
        <v>0</v>
      </c>
      <c r="M190" s="260">
        <f t="shared" si="65"/>
        <v>0</v>
      </c>
      <c r="N190" s="260">
        <f t="shared" si="65"/>
        <v>0</v>
      </c>
      <c r="O190" s="260">
        <f>(O175-O179-O180-O181-O182-O183+O161-O169-O168-O167-O166-O165)*SUM($D$198:$D$204)</f>
        <v>0</v>
      </c>
      <c r="P190" s="260">
        <f>(P175-P179-P180-P181-P182-P183+P161-P169-P168-P167-P166-P165)*SUM($D$198:$D$202)</f>
        <v>0</v>
      </c>
      <c r="Q190" s="260" t="e">
        <f>(Q175-Q179-Q180-Q181-Q182-Q183+Q161-Q169-Q168-Q167-Q166-Q165)*SUM($D$198:$D$199)</f>
        <v>#REF!</v>
      </c>
      <c r="R190" s="263" t="e">
        <f>SUM(F190:Q190)</f>
        <v>#REF!</v>
      </c>
    </row>
    <row r="191" spans="1:18" s="264" customFormat="1" ht="11.25" hidden="1">
      <c r="A191" s="259">
        <v>38261</v>
      </c>
      <c r="B191" s="260"/>
      <c r="C191" s="260"/>
      <c r="D191" s="261"/>
      <c r="E191" s="262" t="s">
        <v>276</v>
      </c>
      <c r="F191" s="260">
        <f t="shared" ref="F191:N191" si="66">(F175-F179-F180-F181-F182-F183+F161-F169-F168-F167-F166-F165)*$F$216</f>
        <v>0</v>
      </c>
      <c r="G191" s="260">
        <f t="shared" si="66"/>
        <v>0</v>
      </c>
      <c r="H191" s="260" t="e">
        <f t="shared" si="66"/>
        <v>#REF!</v>
      </c>
      <c r="I191" s="260">
        <f t="shared" si="66"/>
        <v>0</v>
      </c>
      <c r="J191" s="260">
        <f t="shared" si="66"/>
        <v>0</v>
      </c>
      <c r="K191" s="260">
        <f t="shared" si="66"/>
        <v>0</v>
      </c>
      <c r="L191" s="260">
        <f t="shared" si="66"/>
        <v>0</v>
      </c>
      <c r="M191" s="260">
        <f t="shared" si="66"/>
        <v>0</v>
      </c>
      <c r="N191" s="260">
        <f t="shared" si="66"/>
        <v>0</v>
      </c>
      <c r="O191" s="260">
        <f>(O175-O179-O180-O181-O182-O183+O161-O169-O168-O167-O166-O165)*SUM($F$198:$F$204)</f>
        <v>0</v>
      </c>
      <c r="P191" s="260">
        <f>(P175-P179-P180-P181-P182-P183+P161-P169-P168-P167-P166-P165)*SUM($F$198:$F$202)</f>
        <v>0</v>
      </c>
      <c r="Q191" s="260" t="e">
        <f>(Q175-Q179-Q180-Q181-Q182-Q183+Q161-Q169-Q168-Q167-Q166-Q165)*SUM($F$198:$F$199)</f>
        <v>#REF!</v>
      </c>
      <c r="R191" s="263" t="e">
        <f>SUM(F191:Q191)</f>
        <v>#REF!</v>
      </c>
    </row>
    <row r="192" spans="1:18" s="264" customFormat="1" ht="11.25" hidden="1">
      <c r="A192" s="265"/>
      <c r="B192" s="260"/>
      <c r="C192" s="260"/>
      <c r="D192" s="261"/>
      <c r="E192" s="266"/>
      <c r="F192" s="260"/>
      <c r="G192" s="260"/>
      <c r="H192" s="260"/>
      <c r="I192" s="260"/>
      <c r="J192" s="260"/>
      <c r="K192" s="260"/>
      <c r="L192" s="260"/>
      <c r="M192" s="260"/>
      <c r="N192" s="260"/>
      <c r="O192" s="260"/>
      <c r="P192" s="260"/>
      <c r="Q192" s="260"/>
      <c r="R192" s="263"/>
    </row>
    <row r="193" spans="1:18" s="264" customFormat="1" ht="11.25" hidden="1">
      <c r="A193" s="265"/>
      <c r="B193" s="260"/>
      <c r="C193" s="260"/>
      <c r="D193" s="261"/>
      <c r="E193" s="266"/>
      <c r="F193" s="260"/>
      <c r="G193" s="260"/>
      <c r="H193" s="260"/>
      <c r="I193" s="260"/>
      <c r="J193" s="260"/>
      <c r="K193" s="260"/>
      <c r="L193" s="260"/>
      <c r="M193" s="260"/>
      <c r="N193" s="260"/>
      <c r="O193" s="260"/>
      <c r="P193" s="260"/>
      <c r="Q193" s="260"/>
      <c r="R193" s="263"/>
    </row>
    <row r="194" spans="1:18" s="264" customFormat="1" ht="11.25" hidden="1">
      <c r="A194" s="265"/>
      <c r="B194" s="260"/>
      <c r="C194" s="260"/>
      <c r="D194" s="261"/>
      <c r="E194" s="266"/>
      <c r="F194" s="260"/>
      <c r="G194" s="260"/>
      <c r="H194" s="260"/>
      <c r="I194" s="260"/>
      <c r="J194" s="260"/>
      <c r="K194" s="260"/>
      <c r="L194" s="260"/>
      <c r="M194" s="260"/>
      <c r="N194" s="260"/>
      <c r="O194" s="260"/>
      <c r="P194" s="260"/>
      <c r="Q194" s="260"/>
      <c r="R194" s="263"/>
    </row>
    <row r="195" spans="1:18" s="264" customFormat="1" ht="11.25" hidden="1">
      <c r="A195" s="265"/>
      <c r="B195" s="260"/>
      <c r="C195" s="260"/>
      <c r="D195" s="261"/>
      <c r="E195" s="266"/>
      <c r="F195" s="260"/>
      <c r="G195" s="260"/>
      <c r="H195" s="260"/>
      <c r="I195" s="260"/>
      <c r="J195" s="260"/>
      <c r="K195" s="260"/>
      <c r="L195" s="260"/>
      <c r="M195" s="260"/>
      <c r="N195" s="260"/>
      <c r="O195" s="260"/>
      <c r="P195" s="260"/>
      <c r="Q195" s="260"/>
      <c r="R195" s="263"/>
    </row>
    <row r="196" spans="1:18" hidden="1">
      <c r="A196" s="267"/>
      <c r="B196" s="268"/>
      <c r="C196" s="268"/>
      <c r="D196" s="269"/>
      <c r="E196" s="270"/>
      <c r="F196" s="268"/>
      <c r="G196" s="268"/>
      <c r="H196" s="268"/>
      <c r="I196" s="268"/>
      <c r="J196" s="268"/>
      <c r="K196" s="268"/>
      <c r="L196" s="268"/>
      <c r="M196" s="268"/>
      <c r="N196" s="268"/>
      <c r="O196" s="268"/>
      <c r="P196" s="268"/>
      <c r="Q196" s="268"/>
      <c r="R196" s="271"/>
    </row>
    <row r="197" spans="1:18" s="274" customFormat="1" ht="22.5" hidden="1" customHeight="1" thickBot="1">
      <c r="A197" s="272"/>
      <c r="B197" s="273"/>
      <c r="C197" s="2303" t="s">
        <v>275</v>
      </c>
      <c r="D197" s="2304"/>
      <c r="E197" s="2303" t="s">
        <v>276</v>
      </c>
      <c r="F197" s="2304"/>
      <c r="G197" s="2303" t="s">
        <v>277</v>
      </c>
      <c r="H197" s="2304"/>
      <c r="I197" s="2305" t="s">
        <v>278</v>
      </c>
      <c r="J197" s="2306"/>
      <c r="K197" s="2305" t="s">
        <v>279</v>
      </c>
      <c r="L197" s="2306"/>
      <c r="M197" s="2303" t="s">
        <v>280</v>
      </c>
      <c r="N197" s="2304"/>
      <c r="O197" s="2305" t="s">
        <v>281</v>
      </c>
      <c r="P197" s="2306"/>
      <c r="Q197" s="2305" t="s">
        <v>282</v>
      </c>
      <c r="R197" s="2306"/>
    </row>
    <row r="198" spans="1:18" hidden="1">
      <c r="A198" s="275">
        <v>1</v>
      </c>
      <c r="B198" s="276">
        <v>10</v>
      </c>
      <c r="C198" s="277">
        <v>4.5</v>
      </c>
      <c r="D198" s="278">
        <f t="shared" ref="D198:D215" si="67">C198*$B198</f>
        <v>45</v>
      </c>
      <c r="E198" s="277"/>
      <c r="F198" s="278">
        <f t="shared" ref="F198:F215" si="68">E198*$B198</f>
        <v>0</v>
      </c>
      <c r="G198" s="277"/>
      <c r="H198" s="278">
        <f t="shared" ref="H198:H215" si="69">G198*$B198</f>
        <v>0</v>
      </c>
      <c r="I198" s="278"/>
      <c r="J198" s="278">
        <f t="shared" ref="J198:J215" si="70">I198*$B198</f>
        <v>0</v>
      </c>
      <c r="K198" s="278"/>
      <c r="L198" s="278">
        <f t="shared" ref="L198:L215" si="71">K198*$B198</f>
        <v>0</v>
      </c>
      <c r="M198" s="277"/>
      <c r="N198" s="278">
        <f t="shared" ref="N198:N215" si="72">M198*$B198</f>
        <v>0</v>
      </c>
      <c r="O198" s="278"/>
      <c r="P198" s="278">
        <f t="shared" ref="P198:P215" si="73">O198*$B198</f>
        <v>0</v>
      </c>
      <c r="Q198" s="278"/>
      <c r="R198" s="278">
        <f t="shared" ref="R198:R215" si="74">Q198*$B198</f>
        <v>0</v>
      </c>
    </row>
    <row r="199" spans="1:18" hidden="1">
      <c r="A199" s="279">
        <v>2</v>
      </c>
      <c r="B199" s="280">
        <v>10</v>
      </c>
      <c r="C199" s="281">
        <v>5</v>
      </c>
      <c r="D199" s="282">
        <f t="shared" si="67"/>
        <v>50</v>
      </c>
      <c r="E199" s="281"/>
      <c r="F199" s="282">
        <f t="shared" si="68"/>
        <v>0</v>
      </c>
      <c r="G199" s="281"/>
      <c r="H199" s="282">
        <f t="shared" si="69"/>
        <v>0</v>
      </c>
      <c r="I199" s="282"/>
      <c r="J199" s="282">
        <f t="shared" si="70"/>
        <v>0</v>
      </c>
      <c r="K199" s="282"/>
      <c r="L199" s="282">
        <f t="shared" si="71"/>
        <v>0</v>
      </c>
      <c r="M199" s="281"/>
      <c r="N199" s="282">
        <f t="shared" si="72"/>
        <v>0</v>
      </c>
      <c r="O199" s="282"/>
      <c r="P199" s="282">
        <f t="shared" si="73"/>
        <v>0</v>
      </c>
      <c r="Q199" s="282"/>
      <c r="R199" s="282">
        <f t="shared" si="74"/>
        <v>0</v>
      </c>
    </row>
    <row r="200" spans="1:18" ht="13.5" hidden="1" thickBot="1">
      <c r="A200" s="283">
        <v>3</v>
      </c>
      <c r="B200" s="284">
        <v>10</v>
      </c>
      <c r="C200" s="285">
        <v>5</v>
      </c>
      <c r="D200" s="286">
        <f t="shared" si="67"/>
        <v>50</v>
      </c>
      <c r="E200" s="285">
        <v>0.1</v>
      </c>
      <c r="F200" s="286">
        <f t="shared" si="68"/>
        <v>1</v>
      </c>
      <c r="G200" s="285">
        <v>0.1</v>
      </c>
      <c r="H200" s="286">
        <f t="shared" si="69"/>
        <v>1</v>
      </c>
      <c r="I200" s="286"/>
      <c r="J200" s="286">
        <f t="shared" si="70"/>
        <v>0</v>
      </c>
      <c r="K200" s="286"/>
      <c r="L200" s="286">
        <f t="shared" si="71"/>
        <v>0</v>
      </c>
      <c r="M200" s="285"/>
      <c r="N200" s="286">
        <f t="shared" si="72"/>
        <v>0</v>
      </c>
      <c r="O200" s="286">
        <v>5</v>
      </c>
      <c r="P200" s="286">
        <f t="shared" si="73"/>
        <v>50</v>
      </c>
      <c r="Q200" s="286">
        <v>5</v>
      </c>
      <c r="R200" s="286">
        <f t="shared" si="74"/>
        <v>50</v>
      </c>
    </row>
    <row r="201" spans="1:18" hidden="1">
      <c r="A201" s="275">
        <v>1</v>
      </c>
      <c r="B201" s="276">
        <v>10</v>
      </c>
      <c r="C201" s="277">
        <v>4.5</v>
      </c>
      <c r="D201" s="278">
        <f t="shared" si="67"/>
        <v>45</v>
      </c>
      <c r="E201" s="277">
        <v>0.5</v>
      </c>
      <c r="F201" s="278">
        <f t="shared" si="68"/>
        <v>5</v>
      </c>
      <c r="G201" s="277">
        <v>0.5</v>
      </c>
      <c r="H201" s="278">
        <f t="shared" si="69"/>
        <v>5</v>
      </c>
      <c r="I201" s="278"/>
      <c r="J201" s="278">
        <f t="shared" si="70"/>
        <v>0</v>
      </c>
      <c r="K201" s="278">
        <v>0.2</v>
      </c>
      <c r="L201" s="278">
        <f t="shared" si="71"/>
        <v>2</v>
      </c>
      <c r="M201" s="277">
        <v>0.4</v>
      </c>
      <c r="N201" s="278">
        <f t="shared" si="72"/>
        <v>4</v>
      </c>
      <c r="O201" s="278">
        <v>10</v>
      </c>
      <c r="P201" s="278">
        <f t="shared" si="73"/>
        <v>100</v>
      </c>
      <c r="Q201" s="278">
        <v>10</v>
      </c>
      <c r="R201" s="278">
        <f t="shared" si="74"/>
        <v>100</v>
      </c>
    </row>
    <row r="202" spans="1:18" hidden="1">
      <c r="A202" s="279">
        <v>2</v>
      </c>
      <c r="B202" s="280">
        <v>10</v>
      </c>
      <c r="C202" s="281">
        <v>3.5</v>
      </c>
      <c r="D202" s="282">
        <f t="shared" si="67"/>
        <v>35</v>
      </c>
      <c r="E202" s="281">
        <v>0.8</v>
      </c>
      <c r="F202" s="282">
        <f t="shared" si="68"/>
        <v>8</v>
      </c>
      <c r="G202" s="281">
        <v>0.8</v>
      </c>
      <c r="H202" s="282">
        <f t="shared" si="69"/>
        <v>8</v>
      </c>
      <c r="I202" s="282"/>
      <c r="J202" s="282">
        <f t="shared" si="70"/>
        <v>0</v>
      </c>
      <c r="K202" s="282">
        <v>0.3</v>
      </c>
      <c r="L202" s="282">
        <f t="shared" si="71"/>
        <v>3</v>
      </c>
      <c r="M202" s="281">
        <v>0.7</v>
      </c>
      <c r="N202" s="282">
        <f t="shared" si="72"/>
        <v>7</v>
      </c>
      <c r="O202" s="282">
        <v>10</v>
      </c>
      <c r="P202" s="282">
        <f t="shared" si="73"/>
        <v>100</v>
      </c>
      <c r="Q202" s="282">
        <v>10</v>
      </c>
      <c r="R202" s="282">
        <f t="shared" si="74"/>
        <v>100</v>
      </c>
    </row>
    <row r="203" spans="1:18" ht="13.5" hidden="1" thickBot="1">
      <c r="A203" s="283">
        <v>3</v>
      </c>
      <c r="B203" s="284">
        <v>10</v>
      </c>
      <c r="C203" s="285">
        <v>2</v>
      </c>
      <c r="D203" s="286">
        <f t="shared" si="67"/>
        <v>20</v>
      </c>
      <c r="E203" s="285">
        <v>1.2</v>
      </c>
      <c r="F203" s="286">
        <f t="shared" si="68"/>
        <v>12</v>
      </c>
      <c r="G203" s="285">
        <v>1.2</v>
      </c>
      <c r="H203" s="286">
        <f t="shared" si="69"/>
        <v>12</v>
      </c>
      <c r="I203" s="286"/>
      <c r="J203" s="286">
        <f t="shared" si="70"/>
        <v>0</v>
      </c>
      <c r="K203" s="286">
        <v>0.5</v>
      </c>
      <c r="L203" s="286">
        <f t="shared" si="71"/>
        <v>5</v>
      </c>
      <c r="M203" s="285">
        <v>1.1000000000000001</v>
      </c>
      <c r="N203" s="286">
        <f t="shared" si="72"/>
        <v>11</v>
      </c>
      <c r="O203" s="286">
        <v>10</v>
      </c>
      <c r="P203" s="286">
        <f t="shared" si="73"/>
        <v>100</v>
      </c>
      <c r="Q203" s="286">
        <v>10</v>
      </c>
      <c r="R203" s="286">
        <f t="shared" si="74"/>
        <v>100</v>
      </c>
    </row>
    <row r="204" spans="1:18" hidden="1">
      <c r="A204" s="275">
        <v>1</v>
      </c>
      <c r="B204" s="276">
        <v>10</v>
      </c>
      <c r="C204" s="277">
        <v>1</v>
      </c>
      <c r="D204" s="278">
        <f t="shared" si="67"/>
        <v>10</v>
      </c>
      <c r="E204" s="277">
        <v>1.5</v>
      </c>
      <c r="F204" s="278">
        <f t="shared" si="68"/>
        <v>15</v>
      </c>
      <c r="G204" s="277">
        <v>1.5</v>
      </c>
      <c r="H204" s="278">
        <f t="shared" si="69"/>
        <v>15</v>
      </c>
      <c r="I204" s="278"/>
      <c r="J204" s="278">
        <f t="shared" si="70"/>
        <v>0</v>
      </c>
      <c r="K204" s="278">
        <v>1</v>
      </c>
      <c r="L204" s="278">
        <f t="shared" si="71"/>
        <v>10</v>
      </c>
      <c r="M204" s="277">
        <v>1.3</v>
      </c>
      <c r="N204" s="278">
        <f t="shared" si="72"/>
        <v>13</v>
      </c>
      <c r="O204" s="278">
        <v>10</v>
      </c>
      <c r="P204" s="278">
        <f t="shared" si="73"/>
        <v>100</v>
      </c>
      <c r="Q204" s="278">
        <v>10</v>
      </c>
      <c r="R204" s="278">
        <f t="shared" si="74"/>
        <v>100</v>
      </c>
    </row>
    <row r="205" spans="1:18" hidden="1">
      <c r="A205" s="279">
        <v>2</v>
      </c>
      <c r="B205" s="280">
        <v>10</v>
      </c>
      <c r="C205" s="281">
        <v>0.5</v>
      </c>
      <c r="D205" s="282">
        <f t="shared" si="67"/>
        <v>5</v>
      </c>
      <c r="E205" s="281">
        <v>2</v>
      </c>
      <c r="F205" s="282">
        <f t="shared" si="68"/>
        <v>20</v>
      </c>
      <c r="G205" s="281">
        <v>2</v>
      </c>
      <c r="H205" s="282">
        <f t="shared" si="69"/>
        <v>20</v>
      </c>
      <c r="I205" s="282"/>
      <c r="J205" s="282">
        <f t="shared" si="70"/>
        <v>0</v>
      </c>
      <c r="K205" s="282">
        <v>1</v>
      </c>
      <c r="L205" s="282">
        <f t="shared" si="71"/>
        <v>10</v>
      </c>
      <c r="M205" s="281">
        <v>1.5</v>
      </c>
      <c r="N205" s="282">
        <f t="shared" si="72"/>
        <v>15</v>
      </c>
      <c r="O205" s="282">
        <v>10</v>
      </c>
      <c r="P205" s="282">
        <f t="shared" si="73"/>
        <v>100</v>
      </c>
      <c r="Q205" s="282">
        <v>10</v>
      </c>
      <c r="R205" s="282">
        <f t="shared" si="74"/>
        <v>100</v>
      </c>
    </row>
    <row r="206" spans="1:18" ht="13.5" hidden="1" thickBot="1">
      <c r="A206" s="283">
        <v>3</v>
      </c>
      <c r="B206" s="284">
        <v>10</v>
      </c>
      <c r="C206" s="285"/>
      <c r="D206" s="286">
        <f t="shared" si="67"/>
        <v>0</v>
      </c>
      <c r="E206" s="285">
        <v>2.5</v>
      </c>
      <c r="F206" s="286">
        <f t="shared" si="68"/>
        <v>25</v>
      </c>
      <c r="G206" s="285">
        <v>2.5</v>
      </c>
      <c r="H206" s="286">
        <f t="shared" si="69"/>
        <v>25</v>
      </c>
      <c r="I206" s="286"/>
      <c r="J206" s="286">
        <f t="shared" si="70"/>
        <v>0</v>
      </c>
      <c r="K206" s="286">
        <v>1</v>
      </c>
      <c r="L206" s="286">
        <f t="shared" si="71"/>
        <v>10</v>
      </c>
      <c r="M206" s="285">
        <v>1.6</v>
      </c>
      <c r="N206" s="286">
        <f t="shared" si="72"/>
        <v>16</v>
      </c>
      <c r="O206" s="286">
        <v>10</v>
      </c>
      <c r="P206" s="286">
        <f t="shared" si="73"/>
        <v>100</v>
      </c>
      <c r="Q206" s="286">
        <v>10</v>
      </c>
      <c r="R206" s="286">
        <f t="shared" si="74"/>
        <v>100</v>
      </c>
    </row>
    <row r="207" spans="1:18" hidden="1">
      <c r="A207" s="275">
        <v>1</v>
      </c>
      <c r="B207" s="276">
        <v>10</v>
      </c>
      <c r="C207" s="277"/>
      <c r="D207" s="278">
        <f t="shared" si="67"/>
        <v>0</v>
      </c>
      <c r="E207" s="277"/>
      <c r="F207" s="278">
        <f t="shared" si="68"/>
        <v>0</v>
      </c>
      <c r="G207" s="277"/>
      <c r="H207" s="278">
        <f t="shared" si="69"/>
        <v>0</v>
      </c>
      <c r="I207" s="278">
        <v>6</v>
      </c>
      <c r="J207" s="278">
        <f t="shared" si="70"/>
        <v>60</v>
      </c>
      <c r="K207" s="278">
        <v>1</v>
      </c>
      <c r="L207" s="278">
        <f t="shared" si="71"/>
        <v>10</v>
      </c>
      <c r="M207" s="277">
        <v>1.6</v>
      </c>
      <c r="N207" s="278">
        <f t="shared" si="72"/>
        <v>16</v>
      </c>
      <c r="O207" s="278">
        <v>15</v>
      </c>
      <c r="P207" s="278">
        <f t="shared" si="73"/>
        <v>150</v>
      </c>
      <c r="Q207" s="278">
        <v>15</v>
      </c>
      <c r="R207" s="278">
        <f t="shared" si="74"/>
        <v>150</v>
      </c>
    </row>
    <row r="208" spans="1:18" hidden="1">
      <c r="A208" s="279">
        <v>2</v>
      </c>
      <c r="B208" s="280">
        <v>10</v>
      </c>
      <c r="C208" s="281"/>
      <c r="D208" s="282">
        <f t="shared" si="67"/>
        <v>0</v>
      </c>
      <c r="E208" s="281"/>
      <c r="F208" s="282">
        <f t="shared" si="68"/>
        <v>0</v>
      </c>
      <c r="G208" s="281"/>
      <c r="H208" s="282">
        <f t="shared" si="69"/>
        <v>0</v>
      </c>
      <c r="I208" s="282">
        <v>8</v>
      </c>
      <c r="J208" s="282">
        <f t="shared" si="70"/>
        <v>80</v>
      </c>
      <c r="K208" s="282">
        <v>1</v>
      </c>
      <c r="L208" s="282">
        <f t="shared" si="71"/>
        <v>10</v>
      </c>
      <c r="M208" s="281">
        <v>1.6</v>
      </c>
      <c r="N208" s="282">
        <f t="shared" si="72"/>
        <v>16</v>
      </c>
      <c r="O208" s="282">
        <v>15</v>
      </c>
      <c r="P208" s="282">
        <f t="shared" si="73"/>
        <v>150</v>
      </c>
      <c r="Q208" s="282">
        <v>15</v>
      </c>
      <c r="R208" s="282">
        <f t="shared" si="74"/>
        <v>150</v>
      </c>
    </row>
    <row r="209" spans="1:18" ht="13.5" hidden="1" thickBot="1">
      <c r="A209" s="283">
        <v>3</v>
      </c>
      <c r="B209" s="284">
        <v>10</v>
      </c>
      <c r="C209" s="285"/>
      <c r="D209" s="286">
        <f t="shared" si="67"/>
        <v>0</v>
      </c>
      <c r="E209" s="285"/>
      <c r="F209" s="286">
        <f t="shared" si="68"/>
        <v>0</v>
      </c>
      <c r="G209" s="285"/>
      <c r="H209" s="286">
        <f t="shared" si="69"/>
        <v>0</v>
      </c>
      <c r="I209" s="286">
        <v>10</v>
      </c>
      <c r="J209" s="286">
        <f t="shared" si="70"/>
        <v>100</v>
      </c>
      <c r="K209" s="286">
        <v>1</v>
      </c>
      <c r="L209" s="286">
        <f t="shared" si="71"/>
        <v>10</v>
      </c>
      <c r="M209" s="285">
        <v>1.6</v>
      </c>
      <c r="N209" s="286">
        <f t="shared" si="72"/>
        <v>16</v>
      </c>
      <c r="O209" s="286">
        <v>15</v>
      </c>
      <c r="P209" s="286">
        <f t="shared" si="73"/>
        <v>150</v>
      </c>
      <c r="Q209" s="286">
        <v>15</v>
      </c>
      <c r="R209" s="286">
        <f t="shared" si="74"/>
        <v>150</v>
      </c>
    </row>
    <row r="210" spans="1:18" hidden="1">
      <c r="A210" s="275">
        <v>1</v>
      </c>
      <c r="B210" s="276">
        <v>10</v>
      </c>
      <c r="C210" s="277"/>
      <c r="D210" s="278">
        <f t="shared" si="67"/>
        <v>0</v>
      </c>
      <c r="E210" s="277"/>
      <c r="F210" s="278">
        <f t="shared" si="68"/>
        <v>0</v>
      </c>
      <c r="G210" s="277"/>
      <c r="H210" s="278">
        <f t="shared" si="69"/>
        <v>0</v>
      </c>
      <c r="I210" s="278">
        <v>10</v>
      </c>
      <c r="J210" s="278">
        <f t="shared" si="70"/>
        <v>100</v>
      </c>
      <c r="K210" s="278">
        <v>1</v>
      </c>
      <c r="L210" s="278">
        <f t="shared" si="71"/>
        <v>10</v>
      </c>
      <c r="M210" s="277">
        <v>1.5</v>
      </c>
      <c r="N210" s="278">
        <f t="shared" si="72"/>
        <v>15</v>
      </c>
      <c r="O210" s="278">
        <v>15</v>
      </c>
      <c r="P210" s="278">
        <f t="shared" si="73"/>
        <v>150</v>
      </c>
      <c r="Q210" s="278">
        <v>15</v>
      </c>
      <c r="R210" s="278">
        <f t="shared" si="74"/>
        <v>150</v>
      </c>
    </row>
    <row r="211" spans="1:18" hidden="1">
      <c r="A211" s="279">
        <v>2</v>
      </c>
      <c r="B211" s="280">
        <v>10</v>
      </c>
      <c r="C211" s="281"/>
      <c r="D211" s="282">
        <f t="shared" si="67"/>
        <v>0</v>
      </c>
      <c r="E211" s="281"/>
      <c r="F211" s="282">
        <f t="shared" si="68"/>
        <v>0</v>
      </c>
      <c r="G211" s="281"/>
      <c r="H211" s="282">
        <f t="shared" si="69"/>
        <v>0</v>
      </c>
      <c r="I211" s="282">
        <v>12</v>
      </c>
      <c r="J211" s="282">
        <f t="shared" si="70"/>
        <v>120</v>
      </c>
      <c r="K211" s="282">
        <v>1</v>
      </c>
      <c r="L211" s="282">
        <f t="shared" si="71"/>
        <v>10</v>
      </c>
      <c r="M211" s="281">
        <v>1</v>
      </c>
      <c r="N211" s="282">
        <f t="shared" si="72"/>
        <v>10</v>
      </c>
      <c r="O211" s="282">
        <v>15</v>
      </c>
      <c r="P211" s="282">
        <f t="shared" si="73"/>
        <v>150</v>
      </c>
      <c r="Q211" s="282">
        <v>15</v>
      </c>
      <c r="R211" s="282">
        <f t="shared" si="74"/>
        <v>150</v>
      </c>
    </row>
    <row r="212" spans="1:18" ht="13.5" hidden="1" thickBot="1">
      <c r="A212" s="283">
        <v>3</v>
      </c>
      <c r="B212" s="284">
        <v>10</v>
      </c>
      <c r="C212" s="285"/>
      <c r="D212" s="286">
        <f t="shared" si="67"/>
        <v>0</v>
      </c>
      <c r="E212" s="285"/>
      <c r="F212" s="286">
        <f t="shared" si="68"/>
        <v>0</v>
      </c>
      <c r="G212" s="285"/>
      <c r="H212" s="286">
        <f t="shared" si="69"/>
        <v>0</v>
      </c>
      <c r="I212" s="286">
        <v>14</v>
      </c>
      <c r="J212" s="286">
        <f t="shared" si="70"/>
        <v>140</v>
      </c>
      <c r="K212" s="286">
        <v>1</v>
      </c>
      <c r="L212" s="286">
        <f t="shared" si="71"/>
        <v>10</v>
      </c>
      <c r="M212" s="285">
        <v>1</v>
      </c>
      <c r="N212" s="286">
        <f t="shared" si="72"/>
        <v>10</v>
      </c>
      <c r="O212" s="286">
        <v>15</v>
      </c>
      <c r="P212" s="286">
        <f t="shared" si="73"/>
        <v>150</v>
      </c>
      <c r="Q212" s="286">
        <v>15</v>
      </c>
      <c r="R212" s="286">
        <f t="shared" si="74"/>
        <v>150</v>
      </c>
    </row>
    <row r="213" spans="1:18" hidden="1">
      <c r="A213" s="275">
        <v>1</v>
      </c>
      <c r="B213" s="276">
        <v>10</v>
      </c>
      <c r="C213" s="277"/>
      <c r="D213" s="278">
        <f t="shared" si="67"/>
        <v>0</v>
      </c>
      <c r="E213" s="277"/>
      <c r="F213" s="278">
        <f t="shared" si="68"/>
        <v>0</v>
      </c>
      <c r="G213" s="277"/>
      <c r="H213" s="278">
        <f t="shared" si="69"/>
        <v>0</v>
      </c>
      <c r="I213" s="278">
        <v>14</v>
      </c>
      <c r="J213" s="278">
        <f t="shared" si="70"/>
        <v>140</v>
      </c>
      <c r="K213" s="278">
        <v>1</v>
      </c>
      <c r="L213" s="278">
        <f t="shared" si="71"/>
        <v>10</v>
      </c>
      <c r="M213" s="277">
        <v>0.8</v>
      </c>
      <c r="N213" s="278">
        <f t="shared" si="72"/>
        <v>8</v>
      </c>
      <c r="O213" s="278">
        <v>20</v>
      </c>
      <c r="P213" s="278">
        <f t="shared" si="73"/>
        <v>200</v>
      </c>
      <c r="Q213" s="278">
        <v>20</v>
      </c>
      <c r="R213" s="278">
        <f t="shared" si="74"/>
        <v>200</v>
      </c>
    </row>
    <row r="214" spans="1:18" hidden="1">
      <c r="A214" s="279">
        <v>2</v>
      </c>
      <c r="B214" s="280">
        <v>10</v>
      </c>
      <c r="C214" s="281"/>
      <c r="D214" s="282">
        <f t="shared" si="67"/>
        <v>0</v>
      </c>
      <c r="E214" s="281"/>
      <c r="F214" s="282">
        <f t="shared" si="68"/>
        <v>0</v>
      </c>
      <c r="G214" s="281"/>
      <c r="H214" s="282">
        <f t="shared" si="69"/>
        <v>0</v>
      </c>
      <c r="I214" s="282">
        <v>16</v>
      </c>
      <c r="J214" s="282">
        <f t="shared" si="70"/>
        <v>160</v>
      </c>
      <c r="K214" s="282">
        <v>1</v>
      </c>
      <c r="L214" s="282">
        <f t="shared" si="71"/>
        <v>10</v>
      </c>
      <c r="M214" s="281">
        <v>0.7</v>
      </c>
      <c r="N214" s="282">
        <f t="shared" si="72"/>
        <v>7</v>
      </c>
      <c r="O214" s="282">
        <v>20</v>
      </c>
      <c r="P214" s="282">
        <f t="shared" si="73"/>
        <v>200</v>
      </c>
      <c r="Q214" s="282">
        <v>20</v>
      </c>
      <c r="R214" s="282">
        <f t="shared" si="74"/>
        <v>200</v>
      </c>
    </row>
    <row r="215" spans="1:18" ht="13.5" hidden="1" thickBot="1">
      <c r="A215" s="283">
        <v>3</v>
      </c>
      <c r="B215" s="284">
        <v>10</v>
      </c>
      <c r="C215" s="285"/>
      <c r="D215" s="286">
        <f t="shared" si="67"/>
        <v>0</v>
      </c>
      <c r="E215" s="285"/>
      <c r="F215" s="286">
        <f t="shared" si="68"/>
        <v>0</v>
      </c>
      <c r="G215" s="285"/>
      <c r="H215" s="286">
        <f t="shared" si="69"/>
        <v>0</v>
      </c>
      <c r="I215" s="286">
        <v>18</v>
      </c>
      <c r="J215" s="286">
        <f t="shared" si="70"/>
        <v>180</v>
      </c>
      <c r="K215" s="286">
        <v>1</v>
      </c>
      <c r="L215" s="286">
        <f t="shared" si="71"/>
        <v>10</v>
      </c>
      <c r="M215" s="285">
        <v>0.7</v>
      </c>
      <c r="N215" s="286">
        <f t="shared" si="72"/>
        <v>7</v>
      </c>
      <c r="O215" s="286">
        <v>20</v>
      </c>
      <c r="P215" s="286">
        <f t="shared" si="73"/>
        <v>200</v>
      </c>
      <c r="Q215" s="286">
        <v>20</v>
      </c>
      <c r="R215" s="286">
        <f t="shared" si="74"/>
        <v>200</v>
      </c>
    </row>
    <row r="216" spans="1:18" hidden="1">
      <c r="A216" s="269"/>
      <c r="B216" s="287">
        <f>SUM(B198:B215)</f>
        <v>180</v>
      </c>
      <c r="C216" s="288"/>
      <c r="D216" s="287">
        <f>SUM(D198:D215)</f>
        <v>260</v>
      </c>
      <c r="E216" s="287"/>
      <c r="F216" s="287">
        <f t="shared" ref="F216:R216" si="75">SUM(F198:F215)</f>
        <v>86</v>
      </c>
      <c r="G216" s="287"/>
      <c r="H216" s="287">
        <f t="shared" si="75"/>
        <v>86</v>
      </c>
      <c r="I216" s="287"/>
      <c r="J216" s="287">
        <f t="shared" si="75"/>
        <v>1080</v>
      </c>
      <c r="K216" s="287"/>
      <c r="L216" s="287">
        <f t="shared" si="75"/>
        <v>130</v>
      </c>
      <c r="M216" s="287"/>
      <c r="N216" s="287">
        <f t="shared" si="75"/>
        <v>171</v>
      </c>
      <c r="O216" s="287"/>
      <c r="P216" s="287">
        <f t="shared" si="75"/>
        <v>2150</v>
      </c>
      <c r="Q216" s="287"/>
      <c r="R216" s="287">
        <f t="shared" si="75"/>
        <v>2150</v>
      </c>
    </row>
    <row r="217" spans="1:18" hidden="1">
      <c r="A217" s="267"/>
      <c r="B217" s="268"/>
      <c r="C217" s="268">
        <f>SUMIF(C198:C215,"&gt;0",$B198:$B215)</f>
        <v>80</v>
      </c>
      <c r="D217" s="268"/>
      <c r="E217" s="268">
        <f>SUMIF(E198:E215,"&gt;0",$B198:$B215)</f>
        <v>70</v>
      </c>
      <c r="F217" s="268"/>
      <c r="G217" s="268">
        <f>SUMIF(G198:G215,"&gt;0",$B198:$B215)</f>
        <v>70</v>
      </c>
      <c r="H217" s="268"/>
      <c r="I217" s="268">
        <f>SUMIF(I198:I215,"&gt;0",$B198:$B215)</f>
        <v>90</v>
      </c>
      <c r="J217" s="268"/>
      <c r="K217" s="268">
        <f>SUMIF(K198:K215,"&gt;0",$B198:$B215)</f>
        <v>150</v>
      </c>
      <c r="L217" s="268"/>
      <c r="M217" s="268">
        <f>SUMIF(M198:M215,"&gt;0",$B198:$B215)</f>
        <v>150</v>
      </c>
      <c r="N217" s="268"/>
      <c r="O217" s="268">
        <f>SUMIF(O198:O215,"&gt;0",$B198:$B215)</f>
        <v>160</v>
      </c>
      <c r="P217" s="268"/>
      <c r="Q217" s="268">
        <f>SUMIF(Q198:Q215,"&gt;0",$B198:$B215)</f>
        <v>160</v>
      </c>
      <c r="R217" s="268"/>
    </row>
    <row r="218" spans="1:18" hidden="1">
      <c r="A218" s="267"/>
      <c r="B218" s="268"/>
      <c r="C218" s="268"/>
      <c r="D218" s="269"/>
      <c r="E218" s="270"/>
      <c r="F218" s="268"/>
      <c r="G218" s="268"/>
      <c r="H218" s="268"/>
      <c r="I218" s="268"/>
      <c r="J218" s="268"/>
      <c r="K218" s="268"/>
      <c r="L218" s="268"/>
      <c r="M218" s="268"/>
      <c r="N218" s="268"/>
      <c r="O218" s="268"/>
      <c r="P218" s="268"/>
      <c r="Q218" s="268"/>
      <c r="R218" s="271"/>
    </row>
    <row r="219" spans="1:18">
      <c r="A219" s="267"/>
      <c r="B219" s="268"/>
      <c r="C219" s="268"/>
      <c r="D219" s="269"/>
      <c r="E219" s="270"/>
      <c r="F219" s="268"/>
      <c r="G219" s="268"/>
      <c r="H219" s="268"/>
      <c r="I219" s="268"/>
      <c r="J219" s="268"/>
      <c r="K219" s="268"/>
      <c r="L219" s="268"/>
      <c r="M219" s="268"/>
      <c r="N219" s="268"/>
      <c r="O219" s="268"/>
      <c r="P219" s="268"/>
      <c r="Q219" s="268"/>
      <c r="R219" s="271"/>
    </row>
    <row r="220" spans="1:18" ht="15">
      <c r="A220" s="222"/>
      <c r="B220" s="222"/>
      <c r="C220" s="222"/>
      <c r="D220" s="222"/>
      <c r="E220" s="222"/>
      <c r="F220" s="222"/>
      <c r="G220" s="222"/>
      <c r="H220" s="222"/>
      <c r="I220" s="222"/>
      <c r="J220" s="222"/>
      <c r="K220" s="222"/>
      <c r="L220" s="222"/>
      <c r="M220" s="222"/>
      <c r="N220" s="222"/>
      <c r="O220" s="222"/>
      <c r="P220" s="222"/>
      <c r="Q220" s="222"/>
      <c r="R220" s="222"/>
    </row>
  </sheetData>
  <mergeCells count="9">
    <mergeCell ref="M197:N197"/>
    <mergeCell ref="O197:P197"/>
    <mergeCell ref="Q197:R197"/>
    <mergeCell ref="B2:E2"/>
    <mergeCell ref="C197:D197"/>
    <mergeCell ref="E197:F197"/>
    <mergeCell ref="G197:H197"/>
    <mergeCell ref="I197:J197"/>
    <mergeCell ref="K197:L197"/>
  </mergeCells>
  <conditionalFormatting sqref="R52 R164 R178 R24 R10 R38 R66 R80 R94 R122 R108 R136 R150">
    <cfRule type="cellIs" dxfId="4" priority="1" stopIfTrue="1" operator="equal">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224"/>
  <sheetViews>
    <sheetView topLeftCell="A118" zoomScaleSheetLayoutView="100" workbookViewId="0">
      <selection activeCell="H32" sqref="H32"/>
    </sheetView>
  </sheetViews>
  <sheetFormatPr defaultColWidth="9.140625" defaultRowHeight="12" outlineLevelRow="1"/>
  <cols>
    <col min="1" max="1" width="34.5703125" style="785" customWidth="1"/>
    <col min="2" max="2" width="6.5703125" style="786" customWidth="1"/>
    <col min="3" max="3" width="7.5703125" style="786" customWidth="1"/>
    <col min="4" max="4" width="10" style="787" bestFit="1" customWidth="1"/>
    <col min="5" max="5" width="11" style="788" customWidth="1"/>
    <col min="6" max="17" width="6" style="786" customWidth="1"/>
    <col min="18" max="18" width="6.7109375" style="789" customWidth="1"/>
    <col min="19" max="16384" width="9.140625" style="727"/>
  </cols>
  <sheetData>
    <row r="1" spans="1:18" s="636" customFormat="1">
      <c r="A1" s="633"/>
      <c r="B1" s="634"/>
      <c r="C1" s="634"/>
      <c r="D1" s="634"/>
      <c r="E1" s="634"/>
      <c r="F1" s="634"/>
      <c r="G1" s="634"/>
      <c r="H1" s="634"/>
      <c r="I1" s="634"/>
      <c r="J1" s="634"/>
      <c r="K1" s="634"/>
      <c r="L1" s="634"/>
      <c r="M1" s="634"/>
      <c r="N1" s="634"/>
      <c r="O1" s="634"/>
      <c r="P1" s="634"/>
      <c r="Q1" s="634"/>
      <c r="R1" s="635"/>
    </row>
    <row r="2" spans="1:18" s="636" customFormat="1" ht="12.75" thickBot="1">
      <c r="A2" s="633"/>
      <c r="B2" s="634"/>
      <c r="C2" s="634"/>
      <c r="D2" s="634"/>
      <c r="E2" s="634"/>
      <c r="F2" s="634"/>
      <c r="G2" s="634"/>
      <c r="H2" s="634"/>
      <c r="I2" s="634"/>
      <c r="J2" s="634"/>
      <c r="K2" s="634"/>
      <c r="L2" s="634"/>
      <c r="M2" s="634"/>
      <c r="N2" s="634"/>
      <c r="O2" s="634"/>
      <c r="P2" s="634"/>
      <c r="Q2" s="634"/>
      <c r="R2" s="634"/>
    </row>
    <row r="3" spans="1:18" s="641" customFormat="1" ht="11.25" customHeight="1">
      <c r="A3" s="637" t="s">
        <v>224</v>
      </c>
      <c r="B3" s="2311" t="s">
        <v>225</v>
      </c>
      <c r="C3" s="2311"/>
      <c r="D3" s="2311"/>
      <c r="E3" s="2311"/>
      <c r="F3" s="638" t="s">
        <v>226</v>
      </c>
      <c r="G3" s="639" t="s">
        <v>227</v>
      </c>
      <c r="H3" s="639" t="s">
        <v>228</v>
      </c>
      <c r="I3" s="639" t="s">
        <v>229</v>
      </c>
      <c r="J3" s="639" t="s">
        <v>230</v>
      </c>
      <c r="K3" s="639" t="s">
        <v>231</v>
      </c>
      <c r="L3" s="639" t="s">
        <v>232</v>
      </c>
      <c r="M3" s="639" t="s">
        <v>233</v>
      </c>
      <c r="N3" s="639" t="s">
        <v>234</v>
      </c>
      <c r="O3" s="639" t="s">
        <v>235</v>
      </c>
      <c r="P3" s="639" t="s">
        <v>236</v>
      </c>
      <c r="Q3" s="639" t="s">
        <v>237</v>
      </c>
      <c r="R3" s="640" t="s">
        <v>238</v>
      </c>
    </row>
    <row r="4" spans="1:18" s="649" customFormat="1" ht="60.75" customHeight="1" thickBot="1">
      <c r="A4" s="642" t="s">
        <v>239</v>
      </c>
      <c r="B4" s="643" t="s">
        <v>240</v>
      </c>
      <c r="C4" s="643" t="s">
        <v>241</v>
      </c>
      <c r="D4" s="644" t="s">
        <v>242</v>
      </c>
      <c r="E4" s="645" t="s">
        <v>243</v>
      </c>
      <c r="F4" s="646">
        <v>31</v>
      </c>
      <c r="G4" s="647">
        <v>29</v>
      </c>
      <c r="H4" s="647">
        <v>31</v>
      </c>
      <c r="I4" s="647">
        <v>30</v>
      </c>
      <c r="J4" s="647">
        <v>31</v>
      </c>
      <c r="K4" s="647">
        <v>30</v>
      </c>
      <c r="L4" s="647">
        <v>31</v>
      </c>
      <c r="M4" s="647">
        <v>31</v>
      </c>
      <c r="N4" s="647">
        <v>30</v>
      </c>
      <c r="O4" s="647">
        <v>31</v>
      </c>
      <c r="P4" s="647">
        <v>30</v>
      </c>
      <c r="Q4" s="647">
        <v>31</v>
      </c>
      <c r="R4" s="648">
        <f>SUM(F4:Q4)</f>
        <v>366</v>
      </c>
    </row>
    <row r="5" spans="1:18" s="641" customFormat="1" ht="12.75" thickBot="1">
      <c r="A5" s="650" t="s">
        <v>244</v>
      </c>
      <c r="B5" s="651"/>
      <c r="C5" s="651"/>
      <c r="D5" s="652"/>
      <c r="E5" s="652"/>
      <c r="F5" s="651"/>
      <c r="G5" s="651"/>
      <c r="H5" s="651"/>
      <c r="I5" s="651"/>
      <c r="J5" s="651"/>
      <c r="K5" s="651"/>
      <c r="L5" s="651"/>
      <c r="M5" s="651"/>
      <c r="N5" s="651"/>
      <c r="O5" s="651"/>
      <c r="P5" s="651"/>
      <c r="Q5" s="651"/>
      <c r="R5" s="653"/>
    </row>
    <row r="6" spans="1:18" s="641" customFormat="1" ht="12.75" outlineLevel="1" thickBot="1">
      <c r="A6" s="654" t="s">
        <v>245</v>
      </c>
      <c r="B6" s="655"/>
      <c r="C6" s="655"/>
      <c r="D6" s="656"/>
      <c r="E6" s="657"/>
      <c r="F6" s="655"/>
      <c r="G6" s="655"/>
      <c r="H6" s="655"/>
      <c r="I6" s="655"/>
      <c r="J6" s="655"/>
      <c r="K6" s="655"/>
      <c r="L6" s="655"/>
      <c r="M6" s="655"/>
      <c r="N6" s="655"/>
      <c r="O6" s="655"/>
      <c r="P6" s="655"/>
      <c r="Q6" s="655"/>
      <c r="R6" s="658"/>
    </row>
    <row r="7" spans="1:18" s="666" customFormat="1" outlineLevel="1">
      <c r="A7" s="659" t="s">
        <v>246</v>
      </c>
      <c r="B7" s="660" t="e">
        <f>'КРМД-23'!R6</f>
        <v>#REF!</v>
      </c>
      <c r="C7" s="660"/>
      <c r="D7" s="661" t="e">
        <f>+B7*0.46</f>
        <v>#REF!</v>
      </c>
      <c r="E7" s="662" t="e">
        <f>B7*66</f>
        <v>#REF!</v>
      </c>
      <c r="F7" s="663" t="e">
        <f>B7</f>
        <v>#REF!</v>
      </c>
      <c r="G7" s="664" t="e">
        <f t="shared" ref="G7:Q7" si="0">(F7+F8+F9+F10-F12-F13-F14-F15-F16)</f>
        <v>#REF!</v>
      </c>
      <c r="H7" s="664" t="e">
        <f t="shared" si="0"/>
        <v>#REF!</v>
      </c>
      <c r="I7" s="664" t="e">
        <f t="shared" si="0"/>
        <v>#REF!</v>
      </c>
      <c r="J7" s="664" t="e">
        <f t="shared" si="0"/>
        <v>#REF!</v>
      </c>
      <c r="K7" s="664" t="e">
        <f t="shared" si="0"/>
        <v>#REF!</v>
      </c>
      <c r="L7" s="664" t="e">
        <f t="shared" si="0"/>
        <v>#REF!</v>
      </c>
      <c r="M7" s="664" t="e">
        <f t="shared" si="0"/>
        <v>#REF!</v>
      </c>
      <c r="N7" s="664" t="e">
        <f t="shared" si="0"/>
        <v>#REF!</v>
      </c>
      <c r="O7" s="664" t="e">
        <f t="shared" si="0"/>
        <v>#REF!</v>
      </c>
      <c r="P7" s="664" t="e">
        <f t="shared" si="0"/>
        <v>#REF!</v>
      </c>
      <c r="Q7" s="664" t="e">
        <f t="shared" si="0"/>
        <v>#REF!</v>
      </c>
      <c r="R7" s="665" t="e">
        <f>(Q7+Q8+Q9+Q10-Q12-Q13-Q14-Q15-Q16)</f>
        <v>#REF!</v>
      </c>
    </row>
    <row r="8" spans="1:18" s="666" customFormat="1" outlineLevel="1">
      <c r="A8" s="667" t="s">
        <v>247</v>
      </c>
      <c r="B8" s="668"/>
      <c r="C8" s="669"/>
      <c r="D8" s="670"/>
      <c r="E8" s="671"/>
      <c r="F8" s="672"/>
      <c r="G8" s="673"/>
      <c r="H8" s="673"/>
      <c r="I8" s="673"/>
      <c r="J8" s="673"/>
      <c r="K8" s="673"/>
      <c r="L8" s="673"/>
      <c r="M8" s="673"/>
      <c r="N8" s="673"/>
      <c r="O8" s="673"/>
      <c r="P8" s="673"/>
      <c r="Q8" s="673"/>
      <c r="R8" s="674">
        <f t="shared" ref="R8:R17" si="1">SUM(F8:Q8)</f>
        <v>0</v>
      </c>
    </row>
    <row r="9" spans="1:18" s="666" customFormat="1" outlineLevel="1">
      <c r="A9" s="667" t="s">
        <v>248</v>
      </c>
      <c r="B9" s="675"/>
      <c r="C9" s="676"/>
      <c r="D9" s="676"/>
      <c r="E9" s="677"/>
      <c r="F9" s="672"/>
      <c r="G9" s="673"/>
      <c r="H9" s="673"/>
      <c r="I9" s="673"/>
      <c r="J9" s="673"/>
      <c r="K9" s="673"/>
      <c r="L9" s="673"/>
      <c r="M9" s="673"/>
      <c r="N9" s="673"/>
      <c r="O9" s="673"/>
      <c r="P9" s="673"/>
      <c r="Q9" s="673"/>
      <c r="R9" s="674">
        <f t="shared" si="1"/>
        <v>0</v>
      </c>
    </row>
    <row r="10" spans="1:18" s="666" customFormat="1" ht="12.75" outlineLevel="1" thickBot="1">
      <c r="A10" s="678" t="s">
        <v>249</v>
      </c>
      <c r="B10" s="675"/>
      <c r="C10" s="676"/>
      <c r="D10" s="676"/>
      <c r="E10" s="677"/>
      <c r="F10" s="679"/>
      <c r="G10" s="680"/>
      <c r="H10" s="680"/>
      <c r="I10" s="680"/>
      <c r="J10" s="680"/>
      <c r="K10" s="680"/>
      <c r="L10" s="680"/>
      <c r="M10" s="680"/>
      <c r="N10" s="680"/>
      <c r="O10" s="680"/>
      <c r="P10" s="680"/>
      <c r="Q10" s="680"/>
      <c r="R10" s="681">
        <f t="shared" si="1"/>
        <v>0</v>
      </c>
    </row>
    <row r="11" spans="1:18" s="641" customFormat="1" ht="12.75" outlineLevel="1" thickBot="1">
      <c r="A11" s="682" t="s">
        <v>250</v>
      </c>
      <c r="B11" s="675"/>
      <c r="C11" s="676"/>
      <c r="D11" s="676"/>
      <c r="E11" s="677"/>
      <c r="F11" s="683"/>
      <c r="G11" s="655"/>
      <c r="H11" s="655"/>
      <c r="I11" s="655"/>
      <c r="J11" s="655"/>
      <c r="K11" s="655"/>
      <c r="L11" s="655"/>
      <c r="M11" s="655"/>
      <c r="N11" s="655"/>
      <c r="O11" s="655"/>
      <c r="P11" s="655"/>
      <c r="Q11" s="655"/>
      <c r="R11" s="684">
        <f t="shared" si="1"/>
        <v>0</v>
      </c>
    </row>
    <row r="12" spans="1:18" s="666" customFormat="1" outlineLevel="1">
      <c r="A12" s="685" t="s">
        <v>251</v>
      </c>
      <c r="B12" s="675"/>
      <c r="C12" s="676"/>
      <c r="D12" s="676"/>
      <c r="E12" s="677"/>
      <c r="F12" s="686"/>
      <c r="G12" s="687"/>
      <c r="H12" s="687"/>
      <c r="I12" s="687"/>
      <c r="J12" s="687"/>
      <c r="K12" s="687"/>
      <c r="L12" s="687"/>
      <c r="M12" s="687"/>
      <c r="N12" s="687"/>
      <c r="O12" s="687"/>
      <c r="P12" s="687"/>
      <c r="Q12" s="688"/>
      <c r="R12" s="689">
        <f t="shared" si="1"/>
        <v>0</v>
      </c>
    </row>
    <row r="13" spans="1:18" s="666" customFormat="1" ht="24" outlineLevel="1">
      <c r="A13" s="690" t="s">
        <v>252</v>
      </c>
      <c r="B13" s="675"/>
      <c r="C13" s="676"/>
      <c r="D13" s="676"/>
      <c r="E13" s="677"/>
      <c r="F13" s="691"/>
      <c r="G13" s="691"/>
      <c r="H13" s="691"/>
      <c r="I13" s="691"/>
      <c r="J13" s="691"/>
      <c r="K13" s="691"/>
      <c r="L13" s="691"/>
      <c r="M13" s="691"/>
      <c r="N13" s="691"/>
      <c r="O13" s="691"/>
      <c r="P13" s="691"/>
      <c r="Q13" s="691"/>
      <c r="R13" s="692">
        <f t="shared" si="1"/>
        <v>0</v>
      </c>
    </row>
    <row r="14" spans="1:18" s="666" customFormat="1" outlineLevel="1">
      <c r="A14" s="690" t="s">
        <v>253</v>
      </c>
      <c r="B14" s="675"/>
      <c r="C14" s="676"/>
      <c r="D14" s="676"/>
      <c r="E14" s="677"/>
      <c r="F14" s="691"/>
      <c r="G14" s="691"/>
      <c r="H14" s="691"/>
      <c r="I14" s="691"/>
      <c r="J14" s="691"/>
      <c r="K14" s="691"/>
      <c r="L14" s="691"/>
      <c r="M14" s="691"/>
      <c r="N14" s="691"/>
      <c r="O14" s="691"/>
      <c r="P14" s="691"/>
      <c r="Q14" s="691"/>
      <c r="R14" s="692">
        <f t="shared" si="1"/>
        <v>0</v>
      </c>
    </row>
    <row r="15" spans="1:18" s="666" customFormat="1" outlineLevel="1">
      <c r="A15" s="690" t="s">
        <v>254</v>
      </c>
      <c r="B15" s="675"/>
      <c r="C15" s="676"/>
      <c r="D15" s="676"/>
      <c r="E15" s="677"/>
      <c r="F15" s="691"/>
      <c r="G15" s="691"/>
      <c r="H15" s="691"/>
      <c r="I15" s="691"/>
      <c r="J15" s="691"/>
      <c r="K15" s="691"/>
      <c r="L15" s="691"/>
      <c r="M15" s="691"/>
      <c r="N15" s="691"/>
      <c r="O15" s="691"/>
      <c r="P15" s="691"/>
      <c r="Q15" s="691"/>
      <c r="R15" s="692">
        <f t="shared" si="1"/>
        <v>0</v>
      </c>
    </row>
    <row r="16" spans="1:18" s="666" customFormat="1" outlineLevel="1">
      <c r="A16" s="690" t="s">
        <v>255</v>
      </c>
      <c r="B16" s="675"/>
      <c r="C16" s="676"/>
      <c r="D16" s="676"/>
      <c r="E16" s="677"/>
      <c r="F16" s="672"/>
      <c r="G16" s="673"/>
      <c r="H16" s="673"/>
      <c r="I16" s="673"/>
      <c r="J16" s="673"/>
      <c r="K16" s="673"/>
      <c r="L16" s="673"/>
      <c r="M16" s="673"/>
      <c r="N16" s="673"/>
      <c r="O16" s="673"/>
      <c r="P16" s="673"/>
      <c r="Q16" s="673"/>
      <c r="R16" s="692">
        <f t="shared" si="1"/>
        <v>0</v>
      </c>
    </row>
    <row r="17" spans="1:18" s="666" customFormat="1" outlineLevel="1">
      <c r="A17" s="693" t="s">
        <v>256</v>
      </c>
      <c r="B17" s="694"/>
      <c r="C17" s="695"/>
      <c r="D17" s="696"/>
      <c r="E17" s="697"/>
      <c r="F17" s="698" t="e">
        <f t="shared" ref="F17:Q17" si="2">(F7+G7)/2*F$4</f>
        <v>#REF!</v>
      </c>
      <c r="G17" s="698" t="e">
        <f t="shared" si="2"/>
        <v>#REF!</v>
      </c>
      <c r="H17" s="698" t="e">
        <f t="shared" si="2"/>
        <v>#REF!</v>
      </c>
      <c r="I17" s="698" t="e">
        <f t="shared" si="2"/>
        <v>#REF!</v>
      </c>
      <c r="J17" s="698" t="e">
        <f t="shared" si="2"/>
        <v>#REF!</v>
      </c>
      <c r="K17" s="698" t="e">
        <f t="shared" si="2"/>
        <v>#REF!</v>
      </c>
      <c r="L17" s="698" t="e">
        <f t="shared" si="2"/>
        <v>#REF!</v>
      </c>
      <c r="M17" s="698" t="e">
        <f t="shared" si="2"/>
        <v>#REF!</v>
      </c>
      <c r="N17" s="698" t="e">
        <f t="shared" si="2"/>
        <v>#REF!</v>
      </c>
      <c r="O17" s="698" t="e">
        <f t="shared" si="2"/>
        <v>#REF!</v>
      </c>
      <c r="P17" s="698" t="e">
        <f t="shared" si="2"/>
        <v>#REF!</v>
      </c>
      <c r="Q17" s="698" t="e">
        <f t="shared" si="2"/>
        <v>#REF!</v>
      </c>
      <c r="R17" s="699" t="e">
        <f t="shared" si="1"/>
        <v>#REF!</v>
      </c>
    </row>
    <row r="18" spans="1:18" s="666" customFormat="1" ht="12.75" outlineLevel="1" thickBot="1">
      <c r="A18" s="700" t="s">
        <v>257</v>
      </c>
      <c r="B18" s="701"/>
      <c r="C18" s="701"/>
      <c r="D18" s="702"/>
      <c r="E18" s="703"/>
      <c r="F18" s="704" t="e">
        <f>F17/F$4</f>
        <v>#REF!</v>
      </c>
      <c r="G18" s="705" t="e">
        <f t="shared" ref="G18:Q18" si="3">G17/G$4</f>
        <v>#REF!</v>
      </c>
      <c r="H18" s="705" t="e">
        <f t="shared" si="3"/>
        <v>#REF!</v>
      </c>
      <c r="I18" s="705" t="e">
        <f t="shared" si="3"/>
        <v>#REF!</v>
      </c>
      <c r="J18" s="705" t="e">
        <f t="shared" si="3"/>
        <v>#REF!</v>
      </c>
      <c r="K18" s="705" t="e">
        <f t="shared" si="3"/>
        <v>#REF!</v>
      </c>
      <c r="L18" s="705" t="e">
        <f t="shared" si="3"/>
        <v>#REF!</v>
      </c>
      <c r="M18" s="705" t="e">
        <f t="shared" si="3"/>
        <v>#REF!</v>
      </c>
      <c r="N18" s="705" t="e">
        <f t="shared" si="3"/>
        <v>#REF!</v>
      </c>
      <c r="O18" s="705" t="e">
        <f t="shared" si="3"/>
        <v>#REF!</v>
      </c>
      <c r="P18" s="705" t="e">
        <f t="shared" si="3"/>
        <v>#REF!</v>
      </c>
      <c r="Q18" s="705" t="e">
        <f t="shared" si="3"/>
        <v>#REF!</v>
      </c>
      <c r="R18" s="706" t="e">
        <f>R17/R$4</f>
        <v>#REF!</v>
      </c>
    </row>
    <row r="19" spans="1:18" s="641" customFormat="1" ht="12.75" thickBot="1">
      <c r="A19" s="650" t="s">
        <v>258</v>
      </c>
      <c r="B19" s="651"/>
      <c r="C19" s="651"/>
      <c r="D19" s="652"/>
      <c r="E19" s="652"/>
      <c r="F19" s="651"/>
      <c r="G19" s="651"/>
      <c r="H19" s="651"/>
      <c r="I19" s="651"/>
      <c r="J19" s="651"/>
      <c r="K19" s="651"/>
      <c r="L19" s="651"/>
      <c r="M19" s="651"/>
      <c r="N19" s="651"/>
      <c r="O19" s="651"/>
      <c r="P19" s="651"/>
      <c r="Q19" s="651"/>
      <c r="R19" s="653"/>
    </row>
    <row r="20" spans="1:18" s="641" customFormat="1" ht="12.75" outlineLevel="1" thickBot="1">
      <c r="A20" s="654" t="s">
        <v>245</v>
      </c>
      <c r="B20" s="655"/>
      <c r="C20" s="655"/>
      <c r="D20" s="656"/>
      <c r="E20" s="657"/>
      <c r="F20" s="655"/>
      <c r="G20" s="655"/>
      <c r="H20" s="655"/>
      <c r="I20" s="655"/>
      <c r="J20" s="655"/>
      <c r="K20" s="655"/>
      <c r="L20" s="655"/>
      <c r="M20" s="655"/>
      <c r="N20" s="655"/>
      <c r="O20" s="655"/>
      <c r="P20" s="655"/>
      <c r="Q20" s="655"/>
      <c r="R20" s="658"/>
    </row>
    <row r="21" spans="1:18" s="666" customFormat="1" outlineLevel="1">
      <c r="A21" s="659" t="s">
        <v>259</v>
      </c>
      <c r="B21" s="707" t="e">
        <f>'КРМД-23'!R20</f>
        <v>#REF!</v>
      </c>
      <c r="C21" s="707"/>
      <c r="D21" s="708" t="e">
        <f>+B21*0.55</f>
        <v>#REF!</v>
      </c>
      <c r="E21" s="662" t="e">
        <f>B21*90</f>
        <v>#REF!</v>
      </c>
      <c r="F21" s="663" t="e">
        <f>B21</f>
        <v>#REF!</v>
      </c>
      <c r="G21" s="709" t="e">
        <f t="shared" ref="G21:Q21" si="4">(F21+F22+F23+F24-F26-F27-F28-F29-F30)</f>
        <v>#REF!</v>
      </c>
      <c r="H21" s="709" t="e">
        <f t="shared" si="4"/>
        <v>#REF!</v>
      </c>
      <c r="I21" s="709" t="e">
        <f t="shared" si="4"/>
        <v>#REF!</v>
      </c>
      <c r="J21" s="709" t="e">
        <f t="shared" si="4"/>
        <v>#REF!</v>
      </c>
      <c r="K21" s="709" t="e">
        <f t="shared" si="4"/>
        <v>#REF!</v>
      </c>
      <c r="L21" s="709" t="e">
        <f t="shared" si="4"/>
        <v>#REF!</v>
      </c>
      <c r="M21" s="709" t="e">
        <f t="shared" si="4"/>
        <v>#REF!</v>
      </c>
      <c r="N21" s="709" t="e">
        <f t="shared" si="4"/>
        <v>#REF!</v>
      </c>
      <c r="O21" s="709" t="e">
        <f t="shared" si="4"/>
        <v>#REF!</v>
      </c>
      <c r="P21" s="709" t="e">
        <f t="shared" si="4"/>
        <v>#REF!</v>
      </c>
      <c r="Q21" s="664" t="e">
        <f t="shared" si="4"/>
        <v>#REF!</v>
      </c>
      <c r="R21" s="665" t="e">
        <f>(Q21+Q22+Q23+Q24-Q26-Q27-Q28-Q29-Q30)</f>
        <v>#REF!</v>
      </c>
    </row>
    <row r="22" spans="1:18" s="666" customFormat="1" outlineLevel="1">
      <c r="A22" s="710" t="s">
        <v>247</v>
      </c>
      <c r="B22" s="668"/>
      <c r="C22" s="669"/>
      <c r="D22" s="670"/>
      <c r="E22" s="671"/>
      <c r="F22" s="711">
        <f>F124</f>
        <v>0</v>
      </c>
      <c r="G22" s="712">
        <f t="shared" ref="G22:Q22" si="5">G124</f>
        <v>0</v>
      </c>
      <c r="H22" s="712">
        <f t="shared" si="5"/>
        <v>0</v>
      </c>
      <c r="I22" s="712">
        <f t="shared" si="5"/>
        <v>0</v>
      </c>
      <c r="J22" s="712">
        <f t="shared" si="5"/>
        <v>0</v>
      </c>
      <c r="K22" s="712">
        <f t="shared" si="5"/>
        <v>0</v>
      </c>
      <c r="L22" s="712">
        <f t="shared" si="5"/>
        <v>0</v>
      </c>
      <c r="M22" s="712">
        <f t="shared" si="5"/>
        <v>0</v>
      </c>
      <c r="N22" s="712">
        <f t="shared" si="5"/>
        <v>0</v>
      </c>
      <c r="O22" s="712">
        <f t="shared" si="5"/>
        <v>0</v>
      </c>
      <c r="P22" s="712">
        <f t="shared" si="5"/>
        <v>0</v>
      </c>
      <c r="Q22" s="713">
        <f t="shared" si="5"/>
        <v>0</v>
      </c>
      <c r="R22" s="674">
        <f t="shared" ref="R22:R31" si="6">SUM(F22:Q22)</f>
        <v>0</v>
      </c>
    </row>
    <row r="23" spans="1:18" s="666" customFormat="1" outlineLevel="1">
      <c r="A23" s="710" t="s">
        <v>248</v>
      </c>
      <c r="B23" s="675"/>
      <c r="C23" s="676"/>
      <c r="D23" s="676"/>
      <c r="E23" s="677"/>
      <c r="F23" s="711"/>
      <c r="G23" s="712"/>
      <c r="H23" s="712"/>
      <c r="I23" s="712"/>
      <c r="J23" s="712"/>
      <c r="K23" s="712"/>
      <c r="L23" s="712"/>
      <c r="M23" s="712"/>
      <c r="N23" s="712"/>
      <c r="O23" s="712"/>
      <c r="P23" s="712"/>
      <c r="Q23" s="713"/>
      <c r="R23" s="674">
        <f t="shared" si="6"/>
        <v>0</v>
      </c>
    </row>
    <row r="24" spans="1:18" s="666" customFormat="1" ht="12.75" outlineLevel="1" thickBot="1">
      <c r="A24" s="714" t="s">
        <v>249</v>
      </c>
      <c r="B24" s="675"/>
      <c r="C24" s="676"/>
      <c r="D24" s="676"/>
      <c r="E24" s="677"/>
      <c r="F24" s="679"/>
      <c r="G24" s="687"/>
      <c r="H24" s="687"/>
      <c r="I24" s="687"/>
      <c r="J24" s="687"/>
      <c r="K24" s="687"/>
      <c r="L24" s="687"/>
      <c r="M24" s="687"/>
      <c r="N24" s="687"/>
      <c r="O24" s="687"/>
      <c r="P24" s="687"/>
      <c r="Q24" s="680"/>
      <c r="R24" s="681">
        <f t="shared" si="6"/>
        <v>0</v>
      </c>
    </row>
    <row r="25" spans="1:18" s="641" customFormat="1" ht="12.75" outlineLevel="1" thickBot="1">
      <c r="A25" s="715" t="s">
        <v>250</v>
      </c>
      <c r="B25" s="675"/>
      <c r="C25" s="676"/>
      <c r="D25" s="676"/>
      <c r="E25" s="677"/>
      <c r="F25" s="716"/>
      <c r="G25" s="717"/>
      <c r="H25" s="717"/>
      <c r="I25" s="717"/>
      <c r="J25" s="717"/>
      <c r="K25" s="717"/>
      <c r="L25" s="717"/>
      <c r="M25" s="717"/>
      <c r="N25" s="717"/>
      <c r="O25" s="717"/>
      <c r="P25" s="717"/>
      <c r="Q25" s="717"/>
      <c r="R25" s="684">
        <f t="shared" si="6"/>
        <v>0</v>
      </c>
    </row>
    <row r="26" spans="1:18" s="666" customFormat="1" outlineLevel="1">
      <c r="A26" s="718" t="s">
        <v>251</v>
      </c>
      <c r="B26" s="675"/>
      <c r="C26" s="676"/>
      <c r="D26" s="676"/>
      <c r="E26" s="677"/>
      <c r="F26" s="719"/>
      <c r="G26" s="720"/>
      <c r="H26" s="720"/>
      <c r="I26" s="720"/>
      <c r="J26" s="720"/>
      <c r="K26" s="720"/>
      <c r="L26" s="720"/>
      <c r="M26" s="720"/>
      <c r="N26" s="720"/>
      <c r="O26" s="720"/>
      <c r="P26" s="720"/>
      <c r="Q26" s="721"/>
      <c r="R26" s="689">
        <f t="shared" si="6"/>
        <v>0</v>
      </c>
    </row>
    <row r="27" spans="1:18" s="666" customFormat="1" ht="22.5" customHeight="1" outlineLevel="1">
      <c r="A27" s="722" t="s">
        <v>252</v>
      </c>
      <c r="B27" s="675"/>
      <c r="C27" s="676"/>
      <c r="D27" s="676"/>
      <c r="E27" s="676"/>
      <c r="F27" s="723"/>
      <c r="G27" s="691"/>
      <c r="H27" s="691"/>
      <c r="I27" s="691"/>
      <c r="J27" s="691"/>
      <c r="K27" s="691"/>
      <c r="L27" s="691"/>
      <c r="M27" s="691"/>
      <c r="N27" s="691"/>
      <c r="O27" s="691"/>
      <c r="P27" s="691"/>
      <c r="Q27" s="691"/>
      <c r="R27" s="692">
        <f t="shared" si="6"/>
        <v>0</v>
      </c>
    </row>
    <row r="28" spans="1:18" s="666" customFormat="1" outlineLevel="1">
      <c r="A28" s="722" t="s">
        <v>253</v>
      </c>
      <c r="B28" s="675"/>
      <c r="C28" s="676"/>
      <c r="D28" s="676"/>
      <c r="E28" s="676"/>
      <c r="F28" s="723"/>
      <c r="G28" s="691"/>
      <c r="H28" s="691"/>
      <c r="I28" s="691"/>
      <c r="J28" s="691"/>
      <c r="K28" s="691"/>
      <c r="L28" s="691"/>
      <c r="M28" s="691"/>
      <c r="N28" s="691"/>
      <c r="O28" s="691"/>
      <c r="P28" s="691"/>
      <c r="Q28" s="691"/>
      <c r="R28" s="692">
        <f t="shared" si="6"/>
        <v>0</v>
      </c>
    </row>
    <row r="29" spans="1:18" s="666" customFormat="1" outlineLevel="1">
      <c r="A29" s="722" t="s">
        <v>254</v>
      </c>
      <c r="B29" s="675"/>
      <c r="C29" s="676"/>
      <c r="D29" s="676"/>
      <c r="E29" s="676"/>
      <c r="F29" s="723"/>
      <c r="G29" s="691"/>
      <c r="H29" s="691"/>
      <c r="I29" s="691"/>
      <c r="J29" s="691"/>
      <c r="K29" s="691"/>
      <c r="L29" s="691"/>
      <c r="M29" s="691"/>
      <c r="N29" s="691"/>
      <c r="O29" s="691"/>
      <c r="P29" s="691"/>
      <c r="Q29" s="691"/>
      <c r="R29" s="692">
        <f t="shared" si="6"/>
        <v>0</v>
      </c>
    </row>
    <row r="30" spans="1:18" s="666" customFormat="1" outlineLevel="1">
      <c r="A30" s="722" t="s">
        <v>255</v>
      </c>
      <c r="B30" s="675"/>
      <c r="C30" s="676"/>
      <c r="D30" s="676"/>
      <c r="E30" s="677"/>
      <c r="F30" s="724"/>
      <c r="G30" s="688"/>
      <c r="H30" s="688"/>
      <c r="I30" s="688"/>
      <c r="J30" s="688"/>
      <c r="K30" s="688"/>
      <c r="L30" s="688"/>
      <c r="M30" s="688"/>
      <c r="N30" s="688"/>
      <c r="O30" s="688"/>
      <c r="P30" s="688"/>
      <c r="Q30" s="688"/>
      <c r="R30" s="674">
        <f t="shared" si="6"/>
        <v>0</v>
      </c>
    </row>
    <row r="31" spans="1:18" outlineLevel="1">
      <c r="A31" s="725" t="s">
        <v>256</v>
      </c>
      <c r="B31" s="694"/>
      <c r="C31" s="695"/>
      <c r="D31" s="696"/>
      <c r="E31" s="697"/>
      <c r="F31" s="726" t="e">
        <f t="shared" ref="F31:Q31" si="7">(F21+G21)/2*F$4</f>
        <v>#REF!</v>
      </c>
      <c r="G31" s="698" t="e">
        <f t="shared" si="7"/>
        <v>#REF!</v>
      </c>
      <c r="H31" s="698" t="e">
        <f t="shared" si="7"/>
        <v>#REF!</v>
      </c>
      <c r="I31" s="698" t="e">
        <f t="shared" si="7"/>
        <v>#REF!</v>
      </c>
      <c r="J31" s="698" t="e">
        <f t="shared" si="7"/>
        <v>#REF!</v>
      </c>
      <c r="K31" s="698" t="e">
        <f t="shared" si="7"/>
        <v>#REF!</v>
      </c>
      <c r="L31" s="698" t="e">
        <f t="shared" si="7"/>
        <v>#REF!</v>
      </c>
      <c r="M31" s="698" t="e">
        <f t="shared" si="7"/>
        <v>#REF!</v>
      </c>
      <c r="N31" s="698" t="e">
        <f t="shared" si="7"/>
        <v>#REF!</v>
      </c>
      <c r="O31" s="698" t="e">
        <f t="shared" si="7"/>
        <v>#REF!</v>
      </c>
      <c r="P31" s="698" t="e">
        <f t="shared" si="7"/>
        <v>#REF!</v>
      </c>
      <c r="Q31" s="698" t="e">
        <f t="shared" si="7"/>
        <v>#REF!</v>
      </c>
      <c r="R31" s="699" t="e">
        <f t="shared" si="6"/>
        <v>#REF!</v>
      </c>
    </row>
    <row r="32" spans="1:18" s="666" customFormat="1" ht="12.75" outlineLevel="1" thickBot="1">
      <c r="A32" s="700" t="s">
        <v>257</v>
      </c>
      <c r="B32" s="728"/>
      <c r="C32" s="728"/>
      <c r="D32" s="729"/>
      <c r="E32" s="730"/>
      <c r="F32" s="731" t="e">
        <f t="shared" ref="F32:Q32" si="8">F31/F$4</f>
        <v>#REF!</v>
      </c>
      <c r="G32" s="732" t="e">
        <f t="shared" si="8"/>
        <v>#REF!</v>
      </c>
      <c r="H32" s="732" t="e">
        <f t="shared" si="8"/>
        <v>#REF!</v>
      </c>
      <c r="I32" s="732" t="e">
        <f t="shared" si="8"/>
        <v>#REF!</v>
      </c>
      <c r="J32" s="732" t="e">
        <f t="shared" si="8"/>
        <v>#REF!</v>
      </c>
      <c r="K32" s="732" t="e">
        <f t="shared" si="8"/>
        <v>#REF!</v>
      </c>
      <c r="L32" s="732" t="e">
        <f t="shared" si="8"/>
        <v>#REF!</v>
      </c>
      <c r="M32" s="732" t="e">
        <f t="shared" si="8"/>
        <v>#REF!</v>
      </c>
      <c r="N32" s="732" t="e">
        <f t="shared" si="8"/>
        <v>#REF!</v>
      </c>
      <c r="O32" s="732" t="e">
        <f t="shared" si="8"/>
        <v>#REF!</v>
      </c>
      <c r="P32" s="732" t="e">
        <f t="shared" si="8"/>
        <v>#REF!</v>
      </c>
      <c r="Q32" s="732" t="e">
        <f t="shared" si="8"/>
        <v>#REF!</v>
      </c>
      <c r="R32" s="706" t="e">
        <f>R31/R$4</f>
        <v>#REF!</v>
      </c>
    </row>
    <row r="33" spans="1:18" s="641" customFormat="1" ht="12.75" thickBot="1">
      <c r="A33" s="650" t="s">
        <v>260</v>
      </c>
      <c r="B33" s="651"/>
      <c r="C33" s="651"/>
      <c r="D33" s="652"/>
      <c r="E33" s="652"/>
      <c r="F33" s="733"/>
      <c r="G33" s="733"/>
      <c r="H33" s="733"/>
      <c r="I33" s="733"/>
      <c r="J33" s="733"/>
      <c r="K33" s="733"/>
      <c r="L33" s="733"/>
      <c r="M33" s="733"/>
      <c r="N33" s="733"/>
      <c r="O33" s="733"/>
      <c r="P33" s="733"/>
      <c r="Q33" s="733"/>
      <c r="R33" s="653"/>
    </row>
    <row r="34" spans="1:18" s="641" customFormat="1" ht="12.75" outlineLevel="1" thickBot="1">
      <c r="A34" s="654" t="s">
        <v>245</v>
      </c>
      <c r="B34" s="655"/>
      <c r="C34" s="655"/>
      <c r="D34" s="656"/>
      <c r="E34" s="657"/>
      <c r="F34" s="717"/>
      <c r="G34" s="717"/>
      <c r="H34" s="717"/>
      <c r="I34" s="717"/>
      <c r="J34" s="717"/>
      <c r="K34" s="717"/>
      <c r="L34" s="717"/>
      <c r="M34" s="717"/>
      <c r="N34" s="717"/>
      <c r="O34" s="717"/>
      <c r="P34" s="717"/>
      <c r="Q34" s="717"/>
      <c r="R34" s="658"/>
    </row>
    <row r="35" spans="1:18" s="666" customFormat="1" outlineLevel="1">
      <c r="A35" s="659" t="s">
        <v>246</v>
      </c>
      <c r="B35" s="660" t="e">
        <f>'КРМД-23'!R34</f>
        <v>#REF!</v>
      </c>
      <c r="C35" s="660" t="e">
        <f>B35</f>
        <v>#REF!</v>
      </c>
      <c r="D35" s="708" t="e">
        <f>+B35*0.41</f>
        <v>#REF!</v>
      </c>
      <c r="E35" s="662" t="e">
        <f>B35*70</f>
        <v>#REF!</v>
      </c>
      <c r="F35" s="734" t="e">
        <f>B35</f>
        <v>#REF!</v>
      </c>
      <c r="G35" s="735" t="e">
        <f t="shared" ref="G35:Q35" si="9">(F35+F36+F37+F38-F40-F41-F42-F43-F44)</f>
        <v>#REF!</v>
      </c>
      <c r="H35" s="735" t="e">
        <f t="shared" si="9"/>
        <v>#REF!</v>
      </c>
      <c r="I35" s="735" t="e">
        <f t="shared" si="9"/>
        <v>#REF!</v>
      </c>
      <c r="J35" s="735" t="e">
        <f t="shared" si="9"/>
        <v>#REF!</v>
      </c>
      <c r="K35" s="735" t="e">
        <f t="shared" si="9"/>
        <v>#REF!</v>
      </c>
      <c r="L35" s="735" t="e">
        <f t="shared" si="9"/>
        <v>#REF!</v>
      </c>
      <c r="M35" s="735" t="e">
        <f t="shared" si="9"/>
        <v>#REF!</v>
      </c>
      <c r="N35" s="735" t="e">
        <f t="shared" si="9"/>
        <v>#REF!</v>
      </c>
      <c r="O35" s="735" t="e">
        <f t="shared" si="9"/>
        <v>#REF!</v>
      </c>
      <c r="P35" s="735" t="e">
        <f t="shared" si="9"/>
        <v>#REF!</v>
      </c>
      <c r="Q35" s="736" t="e">
        <f t="shared" si="9"/>
        <v>#REF!</v>
      </c>
      <c r="R35" s="665" t="e">
        <f>(Q35+Q36+Q37+Q38-Q40-Q41-Q42-Q43-Q44)</f>
        <v>#REF!</v>
      </c>
    </row>
    <row r="36" spans="1:18" s="666" customFormat="1" outlineLevel="1">
      <c r="A36" s="667" t="s">
        <v>247</v>
      </c>
      <c r="B36" s="668"/>
      <c r="C36" s="669"/>
      <c r="D36" s="670"/>
      <c r="E36" s="671"/>
      <c r="F36" s="737">
        <f>F68</f>
        <v>0</v>
      </c>
      <c r="G36" s="712">
        <f t="shared" ref="G36:Q36" si="10">G68</f>
        <v>0</v>
      </c>
      <c r="H36" s="712" t="e">
        <f t="shared" si="10"/>
        <v>#REF!</v>
      </c>
      <c r="I36" s="712">
        <f t="shared" si="10"/>
        <v>0</v>
      </c>
      <c r="J36" s="712">
        <f t="shared" si="10"/>
        <v>0</v>
      </c>
      <c r="K36" s="712">
        <f t="shared" si="10"/>
        <v>0</v>
      </c>
      <c r="L36" s="712">
        <f t="shared" si="10"/>
        <v>0</v>
      </c>
      <c r="M36" s="712">
        <f t="shared" si="10"/>
        <v>0</v>
      </c>
      <c r="N36" s="712">
        <f t="shared" si="10"/>
        <v>0</v>
      </c>
      <c r="O36" s="712">
        <f t="shared" si="10"/>
        <v>0</v>
      </c>
      <c r="P36" s="712">
        <f t="shared" si="10"/>
        <v>0</v>
      </c>
      <c r="Q36" s="713">
        <f t="shared" si="10"/>
        <v>0</v>
      </c>
      <c r="R36" s="674" t="e">
        <f>SUM(F36:Q36)</f>
        <v>#REF!</v>
      </c>
    </row>
    <row r="37" spans="1:18" s="666" customFormat="1" outlineLevel="1">
      <c r="A37" s="667" t="s">
        <v>248</v>
      </c>
      <c r="B37" s="675"/>
      <c r="C37" s="676"/>
      <c r="D37" s="676"/>
      <c r="E37" s="677"/>
      <c r="F37" s="738"/>
      <c r="G37" s="688"/>
      <c r="H37" s="688"/>
      <c r="I37" s="688"/>
      <c r="J37" s="688"/>
      <c r="K37" s="688"/>
      <c r="L37" s="688"/>
      <c r="M37" s="688"/>
      <c r="N37" s="688"/>
      <c r="O37" s="688"/>
      <c r="P37" s="688"/>
      <c r="Q37" s="673"/>
      <c r="R37" s="674">
        <f>SUM(F37:Q37)</f>
        <v>0</v>
      </c>
    </row>
    <row r="38" spans="1:18" s="666" customFormat="1" ht="12.75" outlineLevel="1" thickBot="1">
      <c r="A38" s="678" t="s">
        <v>249</v>
      </c>
      <c r="B38" s="675"/>
      <c r="C38" s="676"/>
      <c r="D38" s="676"/>
      <c r="E38" s="677"/>
      <c r="F38" s="739"/>
      <c r="G38" s="680"/>
      <c r="H38" s="680"/>
      <c r="I38" s="680"/>
      <c r="J38" s="680"/>
      <c r="K38" s="680"/>
      <c r="L38" s="680"/>
      <c r="M38" s="680"/>
      <c r="N38" s="680"/>
      <c r="O38" s="680"/>
      <c r="P38" s="680"/>
      <c r="Q38" s="680"/>
      <c r="R38" s="681">
        <f>SUM(F38:Q38)</f>
        <v>0</v>
      </c>
    </row>
    <row r="39" spans="1:18" s="641" customFormat="1" ht="12.75" outlineLevel="1" thickBot="1">
      <c r="A39" s="682" t="s">
        <v>250</v>
      </c>
      <c r="B39" s="675"/>
      <c r="C39" s="676"/>
      <c r="D39" s="676"/>
      <c r="E39" s="677"/>
      <c r="F39" s="740"/>
      <c r="G39" s="655"/>
      <c r="H39" s="655"/>
      <c r="I39" s="655"/>
      <c r="J39" s="655"/>
      <c r="K39" s="655"/>
      <c r="L39" s="655"/>
      <c r="M39" s="655"/>
      <c r="N39" s="655"/>
      <c r="O39" s="655"/>
      <c r="P39" s="655"/>
      <c r="Q39" s="655"/>
      <c r="R39" s="684"/>
    </row>
    <row r="40" spans="1:18" s="666" customFormat="1" outlineLevel="1">
      <c r="A40" s="685" t="s">
        <v>251</v>
      </c>
      <c r="B40" s="675"/>
      <c r="C40" s="676"/>
      <c r="D40" s="676"/>
      <c r="E40" s="677"/>
      <c r="F40" s="741"/>
      <c r="G40" s="687"/>
      <c r="H40" s="687"/>
      <c r="I40" s="687"/>
      <c r="J40" s="687"/>
      <c r="K40" s="687"/>
      <c r="L40" s="687"/>
      <c r="M40" s="687"/>
      <c r="N40" s="687"/>
      <c r="O40" s="687"/>
      <c r="P40" s="687"/>
      <c r="Q40" s="688"/>
      <c r="R40" s="689">
        <f t="shared" ref="R40:R45" si="11">SUM(F40:Q40)</f>
        <v>0</v>
      </c>
    </row>
    <row r="41" spans="1:18" s="666" customFormat="1" ht="22.5" customHeight="1" outlineLevel="1">
      <c r="A41" s="690" t="s">
        <v>252</v>
      </c>
      <c r="B41" s="675"/>
      <c r="C41" s="676"/>
      <c r="D41" s="676"/>
      <c r="E41" s="676"/>
      <c r="F41" s="723"/>
      <c r="G41" s="691"/>
      <c r="H41" s="691"/>
      <c r="I41" s="691"/>
      <c r="J41" s="691"/>
      <c r="K41" s="691"/>
      <c r="L41" s="691"/>
      <c r="M41" s="691"/>
      <c r="N41" s="691"/>
      <c r="O41" s="691"/>
      <c r="P41" s="691"/>
      <c r="Q41" s="691"/>
      <c r="R41" s="692">
        <f t="shared" si="11"/>
        <v>0</v>
      </c>
    </row>
    <row r="42" spans="1:18" s="666" customFormat="1" outlineLevel="1">
      <c r="A42" s="690" t="s">
        <v>253</v>
      </c>
      <c r="B42" s="675"/>
      <c r="C42" s="676"/>
      <c r="D42" s="676"/>
      <c r="E42" s="676"/>
      <c r="F42" s="723"/>
      <c r="G42" s="691"/>
      <c r="H42" s="691"/>
      <c r="I42" s="691"/>
      <c r="J42" s="691"/>
      <c r="K42" s="691"/>
      <c r="L42" s="691"/>
      <c r="M42" s="691"/>
      <c r="N42" s="691"/>
      <c r="O42" s="691"/>
      <c r="P42" s="691"/>
      <c r="Q42" s="691"/>
      <c r="R42" s="692">
        <f t="shared" si="11"/>
        <v>0</v>
      </c>
    </row>
    <row r="43" spans="1:18" s="666" customFormat="1" outlineLevel="1">
      <c r="A43" s="690" t="s">
        <v>254</v>
      </c>
      <c r="B43" s="675"/>
      <c r="C43" s="676"/>
      <c r="D43" s="676"/>
      <c r="E43" s="676"/>
      <c r="F43" s="723"/>
      <c r="G43" s="691"/>
      <c r="H43" s="691"/>
      <c r="I43" s="691"/>
      <c r="J43" s="691"/>
      <c r="K43" s="691"/>
      <c r="L43" s="691"/>
      <c r="M43" s="691"/>
      <c r="N43" s="691"/>
      <c r="O43" s="691"/>
      <c r="P43" s="691"/>
      <c r="Q43" s="691"/>
      <c r="R43" s="692">
        <f t="shared" si="11"/>
        <v>0</v>
      </c>
    </row>
    <row r="44" spans="1:18" s="666" customFormat="1" outlineLevel="1">
      <c r="A44" s="690" t="s">
        <v>255</v>
      </c>
      <c r="B44" s="675"/>
      <c r="C44" s="676"/>
      <c r="D44" s="676"/>
      <c r="E44" s="677"/>
      <c r="F44" s="738"/>
      <c r="G44" s="673"/>
      <c r="H44" s="673"/>
      <c r="I44" s="673"/>
      <c r="J44" s="673"/>
      <c r="K44" s="673"/>
      <c r="L44" s="673"/>
      <c r="M44" s="673"/>
      <c r="N44" s="673"/>
      <c r="O44" s="673"/>
      <c r="P44" s="673"/>
      <c r="Q44" s="673"/>
      <c r="R44" s="692">
        <f t="shared" si="11"/>
        <v>0</v>
      </c>
    </row>
    <row r="45" spans="1:18" s="666" customFormat="1" outlineLevel="1">
      <c r="A45" s="693" t="s">
        <v>256</v>
      </c>
      <c r="B45" s="694"/>
      <c r="C45" s="695"/>
      <c r="D45" s="696"/>
      <c r="E45" s="697"/>
      <c r="F45" s="726" t="e">
        <f t="shared" ref="F45:Q45" si="12">(F35+G35)/2*F$4</f>
        <v>#REF!</v>
      </c>
      <c r="G45" s="698" t="e">
        <f t="shared" si="12"/>
        <v>#REF!</v>
      </c>
      <c r="H45" s="698" t="e">
        <f t="shared" si="12"/>
        <v>#REF!</v>
      </c>
      <c r="I45" s="698" t="e">
        <f t="shared" si="12"/>
        <v>#REF!</v>
      </c>
      <c r="J45" s="698" t="e">
        <f t="shared" si="12"/>
        <v>#REF!</v>
      </c>
      <c r="K45" s="698" t="e">
        <f t="shared" si="12"/>
        <v>#REF!</v>
      </c>
      <c r="L45" s="698" t="e">
        <f t="shared" si="12"/>
        <v>#REF!</v>
      </c>
      <c r="M45" s="698" t="e">
        <f t="shared" si="12"/>
        <v>#REF!</v>
      </c>
      <c r="N45" s="698" t="e">
        <f t="shared" si="12"/>
        <v>#REF!</v>
      </c>
      <c r="O45" s="698" t="e">
        <f t="shared" si="12"/>
        <v>#REF!</v>
      </c>
      <c r="P45" s="698" t="e">
        <f t="shared" si="12"/>
        <v>#REF!</v>
      </c>
      <c r="Q45" s="698" t="e">
        <f t="shared" si="12"/>
        <v>#REF!</v>
      </c>
      <c r="R45" s="699" t="e">
        <f t="shared" si="11"/>
        <v>#REF!</v>
      </c>
    </row>
    <row r="46" spans="1:18" s="666" customFormat="1" ht="12.75" outlineLevel="1" thickBot="1">
      <c r="A46" s="700" t="s">
        <v>257</v>
      </c>
      <c r="B46" s="701"/>
      <c r="C46" s="701"/>
      <c r="D46" s="702"/>
      <c r="E46" s="703"/>
      <c r="F46" s="731" t="e">
        <f t="shared" ref="F46:Q46" si="13">F45/F$4</f>
        <v>#REF!</v>
      </c>
      <c r="G46" s="732" t="e">
        <f>G45/G$4</f>
        <v>#REF!</v>
      </c>
      <c r="H46" s="732" t="e">
        <f t="shared" si="13"/>
        <v>#REF!</v>
      </c>
      <c r="I46" s="732" t="e">
        <f t="shared" si="13"/>
        <v>#REF!</v>
      </c>
      <c r="J46" s="732" t="e">
        <f t="shared" si="13"/>
        <v>#REF!</v>
      </c>
      <c r="K46" s="732" t="e">
        <f t="shared" si="13"/>
        <v>#REF!</v>
      </c>
      <c r="L46" s="732" t="e">
        <f t="shared" si="13"/>
        <v>#REF!</v>
      </c>
      <c r="M46" s="732" t="e">
        <f t="shared" si="13"/>
        <v>#REF!</v>
      </c>
      <c r="N46" s="732" t="e">
        <f t="shared" si="13"/>
        <v>#REF!</v>
      </c>
      <c r="O46" s="732" t="e">
        <f t="shared" si="13"/>
        <v>#REF!</v>
      </c>
      <c r="P46" s="732" t="e">
        <f t="shared" si="13"/>
        <v>#REF!</v>
      </c>
      <c r="Q46" s="732" t="e">
        <f t="shared" si="13"/>
        <v>#REF!</v>
      </c>
      <c r="R46" s="706" t="e">
        <f>R45/R$4</f>
        <v>#REF!</v>
      </c>
    </row>
    <row r="47" spans="1:18" s="641" customFormat="1" ht="12.75" thickBot="1">
      <c r="A47" s="650" t="s">
        <v>261</v>
      </c>
      <c r="B47" s="651"/>
      <c r="C47" s="651"/>
      <c r="D47" s="652"/>
      <c r="E47" s="652"/>
      <c r="F47" s="733"/>
      <c r="G47" s="733"/>
      <c r="H47" s="733"/>
      <c r="I47" s="733"/>
      <c r="J47" s="733"/>
      <c r="K47" s="733"/>
      <c r="L47" s="733"/>
      <c r="M47" s="733"/>
      <c r="N47" s="733"/>
      <c r="O47" s="733"/>
      <c r="P47" s="733"/>
      <c r="Q47" s="733"/>
      <c r="R47" s="653"/>
    </row>
    <row r="48" spans="1:18" s="641" customFormat="1" ht="12.75" outlineLevel="1" thickBot="1">
      <c r="A48" s="654" t="s">
        <v>245</v>
      </c>
      <c r="B48" s="655"/>
      <c r="C48" s="655"/>
      <c r="D48" s="656"/>
      <c r="E48" s="657"/>
      <c r="F48" s="655"/>
      <c r="G48" s="655"/>
      <c r="H48" s="655"/>
      <c r="I48" s="655"/>
      <c r="J48" s="655"/>
      <c r="K48" s="655"/>
      <c r="L48" s="655"/>
      <c r="M48" s="655"/>
      <c r="N48" s="655"/>
      <c r="O48" s="655"/>
      <c r="P48" s="655"/>
      <c r="Q48" s="655"/>
      <c r="R48" s="658"/>
    </row>
    <row r="49" spans="1:18" s="666" customFormat="1" outlineLevel="1">
      <c r="A49" s="659" t="s">
        <v>262</v>
      </c>
      <c r="B49" s="707" t="e">
        <f>'КРМД-23'!R48</f>
        <v>#REF!</v>
      </c>
      <c r="C49" s="660" t="e">
        <f>B49</f>
        <v>#REF!</v>
      </c>
      <c r="D49" s="708" t="e">
        <f>+B49*0.41</f>
        <v>#REF!</v>
      </c>
      <c r="E49" s="742"/>
      <c r="F49" s="663" t="e">
        <f>B49</f>
        <v>#REF!</v>
      </c>
      <c r="G49" s="664" t="e">
        <f t="shared" ref="G49:L49" si="14">(F49+F50+F51+F52-F54-F55-F56-F57-F58)</f>
        <v>#REF!</v>
      </c>
      <c r="H49" s="664" t="e">
        <f t="shared" si="14"/>
        <v>#REF!</v>
      </c>
      <c r="I49" s="664" t="e">
        <f t="shared" si="14"/>
        <v>#REF!</v>
      </c>
      <c r="J49" s="664" t="e">
        <f t="shared" si="14"/>
        <v>#REF!</v>
      </c>
      <c r="K49" s="664" t="e">
        <f t="shared" si="14"/>
        <v>#REF!</v>
      </c>
      <c r="L49" s="664" t="e">
        <f t="shared" si="14"/>
        <v>#REF!</v>
      </c>
      <c r="M49" s="664" t="e">
        <f>(L49+L50+L51+L52-L54-M55-L56-L57-L58)</f>
        <v>#REF!</v>
      </c>
      <c r="N49" s="664" t="e">
        <f>(M49+M50+M51+M52-M54-N55-M56-M57-M58)</f>
        <v>#REF!</v>
      </c>
      <c r="O49" s="664" t="e">
        <f>(N49+N50+N51+N52-N54-N55-N56-N57-N58)</f>
        <v>#REF!</v>
      </c>
      <c r="P49" s="664" t="e">
        <f>(O49+O50+O51+O52-O54-O55-O56-O57-O58)</f>
        <v>#REF!</v>
      </c>
      <c r="Q49" s="664" t="e">
        <f>(P49+P50+P51+P52-P54-P55-P56-P57-P58)</f>
        <v>#REF!</v>
      </c>
      <c r="R49" s="665" t="e">
        <f>(Q49+Q50+Q51+Q52-Q54-Q55-Q56-Q57-Q58)</f>
        <v>#REF!</v>
      </c>
    </row>
    <row r="50" spans="1:18" s="666" customFormat="1" outlineLevel="1">
      <c r="A50" s="710" t="s">
        <v>247</v>
      </c>
      <c r="B50" s="668"/>
      <c r="C50" s="669"/>
      <c r="D50" s="670"/>
      <c r="E50" s="671"/>
      <c r="F50" s="743">
        <f t="shared" ref="F50:Q50" si="15">F12+F40+F26</f>
        <v>0</v>
      </c>
      <c r="G50" s="691">
        <f t="shared" si="15"/>
        <v>0</v>
      </c>
      <c r="H50" s="691">
        <f t="shared" si="15"/>
        <v>0</v>
      </c>
      <c r="I50" s="691">
        <f t="shared" si="15"/>
        <v>0</v>
      </c>
      <c r="J50" s="691">
        <f t="shared" si="15"/>
        <v>0</v>
      </c>
      <c r="K50" s="691">
        <f t="shared" si="15"/>
        <v>0</v>
      </c>
      <c r="L50" s="691">
        <f t="shared" si="15"/>
        <v>0</v>
      </c>
      <c r="M50" s="691">
        <f t="shared" si="15"/>
        <v>0</v>
      </c>
      <c r="N50" s="691">
        <f t="shared" si="15"/>
        <v>0</v>
      </c>
      <c r="O50" s="691">
        <f t="shared" si="15"/>
        <v>0</v>
      </c>
      <c r="P50" s="691">
        <f t="shared" si="15"/>
        <v>0</v>
      </c>
      <c r="Q50" s="691">
        <f t="shared" si="15"/>
        <v>0</v>
      </c>
      <c r="R50" s="674">
        <f>SUM(F50:Q50)</f>
        <v>0</v>
      </c>
    </row>
    <row r="51" spans="1:18" s="666" customFormat="1" outlineLevel="1">
      <c r="A51" s="710" t="s">
        <v>248</v>
      </c>
      <c r="B51" s="675"/>
      <c r="C51" s="676"/>
      <c r="D51" s="676"/>
      <c r="E51" s="677"/>
      <c r="F51" s="672"/>
      <c r="G51" s="673"/>
      <c r="H51" s="673"/>
      <c r="I51" s="673"/>
      <c r="J51" s="673"/>
      <c r="K51" s="673"/>
      <c r="L51" s="673"/>
      <c r="M51" s="673"/>
      <c r="N51" s="673"/>
      <c r="O51" s="673"/>
      <c r="P51" s="673"/>
      <c r="Q51" s="673"/>
      <c r="R51" s="674">
        <f>SUM(F51:Q51)</f>
        <v>0</v>
      </c>
    </row>
    <row r="52" spans="1:18" s="666" customFormat="1" ht="12.75" outlineLevel="1" thickBot="1">
      <c r="A52" s="714" t="s">
        <v>249</v>
      </c>
      <c r="B52" s="675"/>
      <c r="C52" s="676"/>
      <c r="D52" s="676"/>
      <c r="E52" s="677"/>
      <c r="F52" s="679"/>
      <c r="G52" s="680"/>
      <c r="H52" s="680"/>
      <c r="I52" s="680"/>
      <c r="J52" s="680"/>
      <c r="K52" s="680"/>
      <c r="L52" s="680"/>
      <c r="M52" s="680"/>
      <c r="N52" s="680"/>
      <c r="O52" s="680"/>
      <c r="P52" s="680"/>
      <c r="Q52" s="680"/>
      <c r="R52" s="681">
        <f>SUM(F52:Q52)</f>
        <v>0</v>
      </c>
    </row>
    <row r="53" spans="1:18" s="641" customFormat="1" ht="12.75" outlineLevel="1" thickBot="1">
      <c r="A53" s="715" t="s">
        <v>250</v>
      </c>
      <c r="B53" s="675"/>
      <c r="C53" s="676"/>
      <c r="D53" s="676"/>
      <c r="E53" s="677"/>
      <c r="F53" s="683"/>
      <c r="G53" s="655"/>
      <c r="H53" s="655"/>
      <c r="I53" s="655"/>
      <c r="J53" s="655"/>
      <c r="K53" s="655"/>
      <c r="L53" s="655"/>
      <c r="M53" s="655"/>
      <c r="N53" s="655"/>
      <c r="O53" s="655"/>
      <c r="P53" s="655"/>
      <c r="Q53" s="655"/>
      <c r="R53" s="684"/>
    </row>
    <row r="54" spans="1:18" s="666" customFormat="1" outlineLevel="1">
      <c r="A54" s="718" t="s">
        <v>251</v>
      </c>
      <c r="B54" s="675"/>
      <c r="C54" s="676"/>
      <c r="D54" s="676"/>
      <c r="E54" s="677"/>
      <c r="F54" s="744"/>
      <c r="G54" s="688"/>
      <c r="H54" s="688"/>
      <c r="I54" s="688"/>
      <c r="J54" s="688"/>
      <c r="K54" s="688"/>
      <c r="L54" s="688"/>
      <c r="M54" s="688"/>
      <c r="N54" s="688"/>
      <c r="O54" s="688"/>
      <c r="P54" s="688"/>
      <c r="Q54" s="688"/>
      <c r="R54" s="689">
        <f t="shared" ref="R54:R59" si="16">SUM(F54:Q54)</f>
        <v>0</v>
      </c>
    </row>
    <row r="55" spans="1:18" s="666" customFormat="1" ht="22.5" customHeight="1" outlineLevel="1">
      <c r="A55" s="722" t="s">
        <v>252</v>
      </c>
      <c r="B55" s="675"/>
      <c r="C55" s="676"/>
      <c r="D55" s="676"/>
      <c r="E55" s="677"/>
      <c r="F55" s="672"/>
      <c r="G55" s="673"/>
      <c r="H55" s="673"/>
      <c r="I55" s="673"/>
      <c r="J55" s="673"/>
      <c r="K55" s="673"/>
      <c r="L55" s="673"/>
      <c r="M55" s="673"/>
      <c r="N55" s="673"/>
      <c r="O55" s="673"/>
      <c r="P55" s="673" t="e">
        <f>+P49</f>
        <v>#REF!</v>
      </c>
      <c r="Q55" s="673"/>
      <c r="R55" s="674" t="e">
        <f t="shared" si="16"/>
        <v>#REF!</v>
      </c>
    </row>
    <row r="56" spans="1:18" s="666" customFormat="1" outlineLevel="1">
      <c r="A56" s="722" t="s">
        <v>253</v>
      </c>
      <c r="B56" s="675"/>
      <c r="C56" s="676"/>
      <c r="D56" s="676"/>
      <c r="E56" s="677"/>
      <c r="F56" s="672"/>
      <c r="G56" s="673"/>
      <c r="H56" s="673"/>
      <c r="I56" s="673"/>
      <c r="J56" s="673"/>
      <c r="K56" s="673"/>
      <c r="L56" s="673"/>
      <c r="M56" s="673"/>
      <c r="N56" s="673"/>
      <c r="O56" s="673"/>
      <c r="P56" s="673"/>
      <c r="Q56" s="673"/>
      <c r="R56" s="674">
        <f t="shared" si="16"/>
        <v>0</v>
      </c>
    </row>
    <row r="57" spans="1:18" s="666" customFormat="1" outlineLevel="1">
      <c r="A57" s="722" t="s">
        <v>254</v>
      </c>
      <c r="B57" s="675"/>
      <c r="C57" s="676"/>
      <c r="D57" s="676"/>
      <c r="E57" s="677"/>
      <c r="F57" s="672"/>
      <c r="G57" s="673"/>
      <c r="H57" s="673"/>
      <c r="I57" s="673"/>
      <c r="J57" s="673"/>
      <c r="K57" s="673"/>
      <c r="L57" s="673"/>
      <c r="M57" s="673"/>
      <c r="N57" s="673"/>
      <c r="O57" s="673"/>
      <c r="P57" s="673"/>
      <c r="Q57" s="673"/>
      <c r="R57" s="674">
        <f t="shared" si="16"/>
        <v>0</v>
      </c>
    </row>
    <row r="58" spans="1:18" s="666" customFormat="1" outlineLevel="1">
      <c r="A58" s="722" t="s">
        <v>255</v>
      </c>
      <c r="B58" s="675"/>
      <c r="C58" s="676"/>
      <c r="D58" s="676"/>
      <c r="E58" s="677"/>
      <c r="F58" s="672"/>
      <c r="G58" s="673"/>
      <c r="H58" s="673"/>
      <c r="I58" s="673"/>
      <c r="J58" s="673"/>
      <c r="K58" s="673"/>
      <c r="L58" s="673"/>
      <c r="M58" s="673"/>
      <c r="N58" s="673"/>
      <c r="O58" s="673"/>
      <c r="P58" s="673"/>
      <c r="Q58" s="673"/>
      <c r="R58" s="674">
        <f t="shared" si="16"/>
        <v>0</v>
      </c>
    </row>
    <row r="59" spans="1:18" s="666" customFormat="1" outlineLevel="1">
      <c r="A59" s="725" t="s">
        <v>256</v>
      </c>
      <c r="B59" s="694"/>
      <c r="C59" s="695"/>
      <c r="D59" s="696"/>
      <c r="E59" s="697"/>
      <c r="F59" s="698" t="e">
        <f t="shared" ref="F59:Q59" si="17">(F49+G49)/2*F$4</f>
        <v>#REF!</v>
      </c>
      <c r="G59" s="698" t="e">
        <f t="shared" si="17"/>
        <v>#REF!</v>
      </c>
      <c r="H59" s="698" t="e">
        <f t="shared" si="17"/>
        <v>#REF!</v>
      </c>
      <c r="I59" s="698" t="e">
        <f t="shared" si="17"/>
        <v>#REF!</v>
      </c>
      <c r="J59" s="698" t="e">
        <f t="shared" si="17"/>
        <v>#REF!</v>
      </c>
      <c r="K59" s="698" t="e">
        <f t="shared" si="17"/>
        <v>#REF!</v>
      </c>
      <c r="L59" s="698" t="e">
        <f t="shared" si="17"/>
        <v>#REF!</v>
      </c>
      <c r="M59" s="698" t="e">
        <f>(M49+N49)/2*M$4</f>
        <v>#REF!</v>
      </c>
      <c r="N59" s="698" t="e">
        <f t="shared" si="17"/>
        <v>#REF!</v>
      </c>
      <c r="O59" s="698" t="e">
        <f t="shared" si="17"/>
        <v>#REF!</v>
      </c>
      <c r="P59" s="698" t="e">
        <f t="shared" si="17"/>
        <v>#REF!</v>
      </c>
      <c r="Q59" s="698" t="e">
        <f t="shared" si="17"/>
        <v>#REF!</v>
      </c>
      <c r="R59" s="699" t="e">
        <f t="shared" si="16"/>
        <v>#REF!</v>
      </c>
    </row>
    <row r="60" spans="1:18" s="666" customFormat="1" ht="12.75" outlineLevel="1" thickBot="1">
      <c r="A60" s="700" t="s">
        <v>257</v>
      </c>
      <c r="B60" s="701"/>
      <c r="C60" s="701"/>
      <c r="D60" s="702"/>
      <c r="E60" s="703"/>
      <c r="F60" s="704" t="e">
        <f t="shared" ref="F60:Q60" si="18">F59/F$4</f>
        <v>#REF!</v>
      </c>
      <c r="G60" s="705" t="e">
        <f t="shared" si="18"/>
        <v>#REF!</v>
      </c>
      <c r="H60" s="705" t="e">
        <f t="shared" si="18"/>
        <v>#REF!</v>
      </c>
      <c r="I60" s="705" t="e">
        <f t="shared" si="18"/>
        <v>#REF!</v>
      </c>
      <c r="J60" s="705" t="e">
        <f t="shared" si="18"/>
        <v>#REF!</v>
      </c>
      <c r="K60" s="705" t="e">
        <f t="shared" si="18"/>
        <v>#REF!</v>
      </c>
      <c r="L60" s="705" t="e">
        <f t="shared" si="18"/>
        <v>#REF!</v>
      </c>
      <c r="M60" s="705" t="e">
        <f t="shared" si="18"/>
        <v>#REF!</v>
      </c>
      <c r="N60" s="705" t="e">
        <f t="shared" si="18"/>
        <v>#REF!</v>
      </c>
      <c r="O60" s="705" t="e">
        <f t="shared" si="18"/>
        <v>#REF!</v>
      </c>
      <c r="P60" s="705" t="e">
        <f t="shared" si="18"/>
        <v>#REF!</v>
      </c>
      <c r="Q60" s="705" t="e">
        <f t="shared" si="18"/>
        <v>#REF!</v>
      </c>
      <c r="R60" s="706" t="e">
        <f>R59/R$4</f>
        <v>#REF!</v>
      </c>
    </row>
    <row r="61" spans="1:18" s="641" customFormat="1" ht="12.75" thickBot="1">
      <c r="A61" s="650" t="s">
        <v>263</v>
      </c>
      <c r="B61" s="651"/>
      <c r="C61" s="651"/>
      <c r="D61" s="652"/>
      <c r="E61" s="652"/>
      <c r="F61" s="651"/>
      <c r="G61" s="651"/>
      <c r="H61" s="651"/>
      <c r="I61" s="651"/>
      <c r="J61" s="651"/>
      <c r="K61" s="651"/>
      <c r="L61" s="651"/>
      <c r="M61" s="651"/>
      <c r="N61" s="651"/>
      <c r="O61" s="651"/>
      <c r="P61" s="651"/>
      <c r="Q61" s="651"/>
      <c r="R61" s="653"/>
    </row>
    <row r="62" spans="1:18" s="641" customFormat="1" ht="12.75" outlineLevel="1" thickBot="1">
      <c r="A62" s="654" t="s">
        <v>245</v>
      </c>
      <c r="B62" s="655"/>
      <c r="C62" s="655"/>
      <c r="D62" s="656"/>
      <c r="E62" s="657"/>
      <c r="F62" s="655"/>
      <c r="G62" s="655"/>
      <c r="H62" s="655"/>
      <c r="I62" s="655"/>
      <c r="J62" s="655"/>
      <c r="K62" s="655"/>
      <c r="L62" s="655"/>
      <c r="M62" s="655"/>
      <c r="N62" s="655"/>
      <c r="O62" s="655"/>
      <c r="P62" s="655"/>
      <c r="Q62" s="655"/>
      <c r="R62" s="658"/>
    </row>
    <row r="63" spans="1:18" s="666" customFormat="1" outlineLevel="1">
      <c r="A63" s="659" t="s">
        <v>262</v>
      </c>
      <c r="B63" s="660" t="e">
        <f>'КРМД-23'!R62</f>
        <v>#REF!</v>
      </c>
      <c r="C63" s="660" t="e">
        <f>B63</f>
        <v>#REF!</v>
      </c>
      <c r="D63" s="708" t="e">
        <f>+B63*0.35</f>
        <v>#REF!</v>
      </c>
      <c r="E63" s="662" t="e">
        <f>B63*60</f>
        <v>#REF!</v>
      </c>
      <c r="F63" s="663" t="e">
        <f>B63</f>
        <v>#REF!</v>
      </c>
      <c r="G63" s="664" t="e">
        <f t="shared" ref="G63:Q63" si="19">(F63+F64+F65+F66-F68-F69-F70-F71-F72)</f>
        <v>#REF!</v>
      </c>
      <c r="H63" s="664" t="e">
        <f t="shared" si="19"/>
        <v>#REF!</v>
      </c>
      <c r="I63" s="664" t="e">
        <f t="shared" si="19"/>
        <v>#REF!</v>
      </c>
      <c r="J63" s="664" t="e">
        <f t="shared" si="19"/>
        <v>#REF!</v>
      </c>
      <c r="K63" s="664" t="e">
        <f t="shared" si="19"/>
        <v>#REF!</v>
      </c>
      <c r="L63" s="664" t="e">
        <f t="shared" si="19"/>
        <v>#REF!</v>
      </c>
      <c r="M63" s="664" t="e">
        <f t="shared" si="19"/>
        <v>#REF!</v>
      </c>
      <c r="N63" s="664" t="e">
        <f t="shared" si="19"/>
        <v>#REF!</v>
      </c>
      <c r="O63" s="664" t="e">
        <f t="shared" si="19"/>
        <v>#REF!</v>
      </c>
      <c r="P63" s="664" t="e">
        <f t="shared" si="19"/>
        <v>#REF!</v>
      </c>
      <c r="Q63" s="664" t="e">
        <f t="shared" si="19"/>
        <v>#REF!</v>
      </c>
      <c r="R63" s="665" t="e">
        <f>(Q63+Q64+Q65+Q66-Q68-Q69-Q70-Q71-Q72)</f>
        <v>#REF!</v>
      </c>
    </row>
    <row r="64" spans="1:18" s="666" customFormat="1" outlineLevel="1">
      <c r="A64" s="667" t="s">
        <v>247</v>
      </c>
      <c r="B64" s="668"/>
      <c r="C64" s="669"/>
      <c r="D64" s="670"/>
      <c r="E64" s="671"/>
      <c r="F64" s="713">
        <f>F82</f>
        <v>0</v>
      </c>
      <c r="G64" s="713">
        <f t="shared" ref="G64:Q64" si="20">G82</f>
        <v>0</v>
      </c>
      <c r="H64" s="713">
        <f t="shared" si="20"/>
        <v>0</v>
      </c>
      <c r="I64" s="713">
        <f t="shared" si="20"/>
        <v>0</v>
      </c>
      <c r="J64" s="713">
        <f t="shared" si="20"/>
        <v>0</v>
      </c>
      <c r="K64" s="713">
        <f t="shared" si="20"/>
        <v>0</v>
      </c>
      <c r="L64" s="713">
        <f t="shared" si="20"/>
        <v>0</v>
      </c>
      <c r="M64" s="713">
        <f t="shared" si="20"/>
        <v>0</v>
      </c>
      <c r="N64" s="713">
        <f t="shared" si="20"/>
        <v>0</v>
      </c>
      <c r="O64" s="713">
        <f>O82</f>
        <v>0</v>
      </c>
      <c r="P64" s="713">
        <f>P82</f>
        <v>0</v>
      </c>
      <c r="Q64" s="713" t="e">
        <f t="shared" si="20"/>
        <v>#REF!</v>
      </c>
      <c r="R64" s="674" t="e">
        <f t="shared" ref="R64:R73" si="21">SUM(F64:Q64)</f>
        <v>#REF!</v>
      </c>
    </row>
    <row r="65" spans="1:18" s="666" customFormat="1" outlineLevel="1">
      <c r="A65" s="667" t="s">
        <v>248</v>
      </c>
      <c r="B65" s="675"/>
      <c r="C65" s="676"/>
      <c r="D65" s="676"/>
      <c r="E65" s="677"/>
      <c r="F65" s="713"/>
      <c r="G65" s="673"/>
      <c r="H65" s="673"/>
      <c r="I65" s="673"/>
      <c r="J65" s="673"/>
      <c r="K65" s="673"/>
      <c r="L65" s="673"/>
      <c r="M65" s="673"/>
      <c r="N65" s="673"/>
      <c r="O65" s="673"/>
      <c r="P65" s="673"/>
      <c r="Q65" s="673"/>
      <c r="R65" s="674">
        <f t="shared" si="21"/>
        <v>0</v>
      </c>
    </row>
    <row r="66" spans="1:18" s="666" customFormat="1" ht="12.75" outlineLevel="1" thickBot="1">
      <c r="A66" s="678" t="s">
        <v>249</v>
      </c>
      <c r="B66" s="675"/>
      <c r="C66" s="676"/>
      <c r="D66" s="676"/>
      <c r="E66" s="677"/>
      <c r="F66" s="680"/>
      <c r="G66" s="680"/>
      <c r="H66" s="680"/>
      <c r="I66" s="680"/>
      <c r="J66" s="680"/>
      <c r="K66" s="680"/>
      <c r="L66" s="680"/>
      <c r="M66" s="680"/>
      <c r="N66" s="680"/>
      <c r="O66" s="680"/>
      <c r="P66" s="680"/>
      <c r="Q66" s="680"/>
      <c r="R66" s="681">
        <f t="shared" si="21"/>
        <v>0</v>
      </c>
    </row>
    <row r="67" spans="1:18" s="666" customFormat="1" ht="12.75" outlineLevel="1" thickBot="1">
      <c r="A67" s="682" t="s">
        <v>250</v>
      </c>
      <c r="B67" s="675"/>
      <c r="C67" s="676"/>
      <c r="D67" s="676"/>
      <c r="E67" s="677"/>
      <c r="F67" s="745"/>
      <c r="G67" s="745"/>
      <c r="H67" s="745"/>
      <c r="I67" s="745"/>
      <c r="J67" s="745"/>
      <c r="K67" s="745"/>
      <c r="L67" s="745"/>
      <c r="M67" s="745"/>
      <c r="N67" s="745"/>
      <c r="O67" s="745"/>
      <c r="P67" s="745"/>
      <c r="Q67" s="745"/>
      <c r="R67" s="684">
        <f t="shared" si="21"/>
        <v>0</v>
      </c>
    </row>
    <row r="68" spans="1:18" s="666" customFormat="1" outlineLevel="1">
      <c r="A68" s="685" t="s">
        <v>251</v>
      </c>
      <c r="B68" s="675"/>
      <c r="C68" s="676"/>
      <c r="D68" s="676"/>
      <c r="E68" s="677"/>
      <c r="F68" s="746"/>
      <c r="G68" s="688"/>
      <c r="H68" s="688" t="e">
        <f>H63</f>
        <v>#REF!</v>
      </c>
      <c r="I68" s="688"/>
      <c r="J68" s="688"/>
      <c r="K68" s="688"/>
      <c r="L68" s="688"/>
      <c r="M68" s="688"/>
      <c r="N68" s="688"/>
      <c r="O68" s="688"/>
      <c r="P68" s="688"/>
      <c r="Q68" s="688"/>
      <c r="R68" s="689" t="e">
        <f t="shared" si="21"/>
        <v>#REF!</v>
      </c>
    </row>
    <row r="69" spans="1:18" s="666" customFormat="1" ht="22.5" customHeight="1" outlineLevel="1">
      <c r="A69" s="690" t="s">
        <v>252</v>
      </c>
      <c r="B69" s="675"/>
      <c r="C69" s="676"/>
      <c r="D69" s="676"/>
      <c r="E69" s="677"/>
      <c r="F69" s="713"/>
      <c r="G69" s="673"/>
      <c r="H69" s="673"/>
      <c r="I69" s="673"/>
      <c r="J69" s="673"/>
      <c r="K69" s="673"/>
      <c r="L69" s="673"/>
      <c r="M69" s="673"/>
      <c r="N69" s="673"/>
      <c r="O69" s="673"/>
      <c r="P69" s="673"/>
      <c r="Q69" s="673"/>
      <c r="R69" s="674">
        <f t="shared" si="21"/>
        <v>0</v>
      </c>
    </row>
    <row r="70" spans="1:18" s="666" customFormat="1" outlineLevel="1">
      <c r="A70" s="690" t="s">
        <v>253</v>
      </c>
      <c r="B70" s="675"/>
      <c r="C70" s="676"/>
      <c r="D70" s="676"/>
      <c r="E70" s="677"/>
      <c r="F70" s="713"/>
      <c r="G70" s="673"/>
      <c r="H70" s="673"/>
      <c r="I70" s="673"/>
      <c r="J70" s="673"/>
      <c r="K70" s="673"/>
      <c r="L70" s="673"/>
      <c r="M70" s="673"/>
      <c r="N70" s="673"/>
      <c r="O70" s="673"/>
      <c r="P70" s="673"/>
      <c r="Q70" s="673"/>
      <c r="R70" s="674">
        <f t="shared" si="21"/>
        <v>0</v>
      </c>
    </row>
    <row r="71" spans="1:18" s="666" customFormat="1" outlineLevel="1">
      <c r="A71" s="690" t="s">
        <v>254</v>
      </c>
      <c r="B71" s="675"/>
      <c r="C71" s="676"/>
      <c r="D71" s="676"/>
      <c r="E71" s="677"/>
      <c r="F71" s="713"/>
      <c r="G71" s="673"/>
      <c r="H71" s="673"/>
      <c r="I71" s="673"/>
      <c r="J71" s="673"/>
      <c r="K71" s="673"/>
      <c r="L71" s="673"/>
      <c r="M71" s="673"/>
      <c r="N71" s="673"/>
      <c r="O71" s="673"/>
      <c r="P71" s="673"/>
      <c r="Q71" s="673"/>
      <c r="R71" s="674">
        <f t="shared" si="21"/>
        <v>0</v>
      </c>
    </row>
    <row r="72" spans="1:18" s="666" customFormat="1" outlineLevel="1">
      <c r="A72" s="690" t="s">
        <v>255</v>
      </c>
      <c r="B72" s="675"/>
      <c r="C72" s="676"/>
      <c r="D72" s="676"/>
      <c r="E72" s="677"/>
      <c r="F72" s="713"/>
      <c r="G72" s="673"/>
      <c r="H72" s="673"/>
      <c r="I72" s="673"/>
      <c r="J72" s="673"/>
      <c r="K72" s="673"/>
      <c r="L72" s="673"/>
      <c r="M72" s="673"/>
      <c r="N72" s="673"/>
      <c r="O72" s="673"/>
      <c r="P72" s="673"/>
      <c r="Q72" s="673"/>
      <c r="R72" s="674">
        <f t="shared" si="21"/>
        <v>0</v>
      </c>
    </row>
    <row r="73" spans="1:18" s="666" customFormat="1" outlineLevel="1">
      <c r="A73" s="693" t="s">
        <v>256</v>
      </c>
      <c r="B73" s="694"/>
      <c r="C73" s="695"/>
      <c r="D73" s="696"/>
      <c r="E73" s="697"/>
      <c r="F73" s="698" t="e">
        <f t="shared" ref="F73:Q73" si="22">(F63+G63)/2*F$4</f>
        <v>#REF!</v>
      </c>
      <c r="G73" s="698" t="e">
        <f t="shared" si="22"/>
        <v>#REF!</v>
      </c>
      <c r="H73" s="698" t="e">
        <f t="shared" si="22"/>
        <v>#REF!</v>
      </c>
      <c r="I73" s="698" t="e">
        <f t="shared" si="22"/>
        <v>#REF!</v>
      </c>
      <c r="J73" s="698" t="e">
        <f t="shared" si="22"/>
        <v>#REF!</v>
      </c>
      <c r="K73" s="698" t="e">
        <f t="shared" si="22"/>
        <v>#REF!</v>
      </c>
      <c r="L73" s="698" t="e">
        <f t="shared" si="22"/>
        <v>#REF!</v>
      </c>
      <c r="M73" s="698" t="e">
        <f t="shared" si="22"/>
        <v>#REF!</v>
      </c>
      <c r="N73" s="698" t="e">
        <f t="shared" si="22"/>
        <v>#REF!</v>
      </c>
      <c r="O73" s="698" t="e">
        <f t="shared" si="22"/>
        <v>#REF!</v>
      </c>
      <c r="P73" s="698" t="e">
        <f t="shared" si="22"/>
        <v>#REF!</v>
      </c>
      <c r="Q73" s="698" t="e">
        <f t="shared" si="22"/>
        <v>#REF!</v>
      </c>
      <c r="R73" s="699" t="e">
        <f t="shared" si="21"/>
        <v>#REF!</v>
      </c>
    </row>
    <row r="74" spans="1:18" s="666" customFormat="1" ht="12.75" outlineLevel="1" thickBot="1">
      <c r="A74" s="700" t="s">
        <v>257</v>
      </c>
      <c r="B74" s="701"/>
      <c r="C74" s="701"/>
      <c r="D74" s="702"/>
      <c r="E74" s="703"/>
      <c r="F74" s="704" t="e">
        <f t="shared" ref="F74:Q74" si="23">F73/F$4</f>
        <v>#REF!</v>
      </c>
      <c r="G74" s="705" t="e">
        <f t="shared" si="23"/>
        <v>#REF!</v>
      </c>
      <c r="H74" s="705" t="e">
        <f t="shared" si="23"/>
        <v>#REF!</v>
      </c>
      <c r="I74" s="705" t="e">
        <f t="shared" si="23"/>
        <v>#REF!</v>
      </c>
      <c r="J74" s="705" t="e">
        <f t="shared" si="23"/>
        <v>#REF!</v>
      </c>
      <c r="K74" s="705" t="e">
        <f t="shared" si="23"/>
        <v>#REF!</v>
      </c>
      <c r="L74" s="705" t="e">
        <f t="shared" si="23"/>
        <v>#REF!</v>
      </c>
      <c r="M74" s="705" t="e">
        <f t="shared" si="23"/>
        <v>#REF!</v>
      </c>
      <c r="N74" s="705" t="e">
        <f t="shared" si="23"/>
        <v>#REF!</v>
      </c>
      <c r="O74" s="705" t="e">
        <f t="shared" si="23"/>
        <v>#REF!</v>
      </c>
      <c r="P74" s="705" t="e">
        <f t="shared" si="23"/>
        <v>#REF!</v>
      </c>
      <c r="Q74" s="705" t="e">
        <f t="shared" si="23"/>
        <v>#REF!</v>
      </c>
      <c r="R74" s="706" t="e">
        <f>R73/R$4</f>
        <v>#REF!</v>
      </c>
    </row>
    <row r="75" spans="1:18" s="641" customFormat="1" ht="12.75" thickBot="1">
      <c r="A75" s="650" t="s">
        <v>264</v>
      </c>
      <c r="B75" s="651"/>
      <c r="C75" s="651"/>
      <c r="D75" s="652"/>
      <c r="E75" s="652"/>
      <c r="F75" s="651"/>
      <c r="G75" s="651"/>
      <c r="H75" s="651"/>
      <c r="I75" s="651"/>
      <c r="J75" s="651"/>
      <c r="K75" s="651"/>
      <c r="L75" s="651"/>
      <c r="M75" s="651"/>
      <c r="N75" s="651"/>
      <c r="O75" s="651"/>
      <c r="P75" s="651"/>
      <c r="Q75" s="651"/>
      <c r="R75" s="653"/>
    </row>
    <row r="76" spans="1:18" s="641" customFormat="1" ht="12.75" outlineLevel="1" thickBot="1">
      <c r="A76" s="654"/>
      <c r="B76" s="655"/>
      <c r="C76" s="655"/>
      <c r="D76" s="656"/>
      <c r="E76" s="657"/>
      <c r="F76" s="655"/>
      <c r="G76" s="655"/>
      <c r="H76" s="655"/>
      <c r="I76" s="655"/>
      <c r="J76" s="655"/>
      <c r="K76" s="655"/>
      <c r="L76" s="655"/>
      <c r="M76" s="655"/>
      <c r="N76" s="655"/>
      <c r="O76" s="655"/>
      <c r="P76" s="655"/>
      <c r="Q76" s="655"/>
      <c r="R76" s="658"/>
    </row>
    <row r="77" spans="1:18" s="666" customFormat="1" outlineLevel="1">
      <c r="A77" s="659" t="s">
        <v>262</v>
      </c>
      <c r="B77" s="707" t="e">
        <f>'КРМД-23'!R76</f>
        <v>#REF!</v>
      </c>
      <c r="C77" s="660" t="e">
        <f>B77</f>
        <v>#REF!</v>
      </c>
      <c r="D77" s="708" t="e">
        <f>+B77*0.31</f>
        <v>#REF!</v>
      </c>
      <c r="E77" s="662" t="e">
        <f>B77*55</f>
        <v>#REF!</v>
      </c>
      <c r="F77" s="663" t="e">
        <f>B77</f>
        <v>#REF!</v>
      </c>
      <c r="G77" s="709" t="e">
        <f t="shared" ref="G77:Q77" si="24">(F77+F78+F79+F80-F82-F83-F84-F85-F86)</f>
        <v>#REF!</v>
      </c>
      <c r="H77" s="709" t="e">
        <f t="shared" si="24"/>
        <v>#REF!</v>
      </c>
      <c r="I77" s="709" t="e">
        <f t="shared" si="24"/>
        <v>#REF!</v>
      </c>
      <c r="J77" s="709" t="e">
        <f t="shared" si="24"/>
        <v>#REF!</v>
      </c>
      <c r="K77" s="709" t="e">
        <f t="shared" si="24"/>
        <v>#REF!</v>
      </c>
      <c r="L77" s="709" t="e">
        <f t="shared" si="24"/>
        <v>#REF!</v>
      </c>
      <c r="M77" s="709" t="e">
        <f t="shared" si="24"/>
        <v>#REF!</v>
      </c>
      <c r="N77" s="709" t="e">
        <f t="shared" si="24"/>
        <v>#REF!</v>
      </c>
      <c r="O77" s="709" t="e">
        <f t="shared" si="24"/>
        <v>#REF!</v>
      </c>
      <c r="P77" s="709" t="e">
        <f t="shared" si="24"/>
        <v>#REF!</v>
      </c>
      <c r="Q77" s="664" t="e">
        <f t="shared" si="24"/>
        <v>#REF!</v>
      </c>
      <c r="R77" s="665" t="e">
        <f>(Q77+Q78+Q79+Q80-Q82-Q83-Q84-Q85-Q86)</f>
        <v>#REF!</v>
      </c>
    </row>
    <row r="78" spans="1:18" s="666" customFormat="1" outlineLevel="1">
      <c r="A78" s="710" t="s">
        <v>247</v>
      </c>
      <c r="B78" s="668"/>
      <c r="C78" s="669"/>
      <c r="D78" s="670"/>
      <c r="E78" s="671"/>
      <c r="F78" s="711">
        <f>F96</f>
        <v>0</v>
      </c>
      <c r="G78" s="712">
        <f t="shared" ref="G78:Q78" si="25">G96</f>
        <v>0</v>
      </c>
      <c r="H78" s="712">
        <f t="shared" si="25"/>
        <v>0</v>
      </c>
      <c r="I78" s="712">
        <f t="shared" si="25"/>
        <v>0</v>
      </c>
      <c r="J78" s="712">
        <f t="shared" si="25"/>
        <v>0</v>
      </c>
      <c r="K78" s="712">
        <f t="shared" si="25"/>
        <v>0</v>
      </c>
      <c r="L78" s="712">
        <f t="shared" si="25"/>
        <v>0</v>
      </c>
      <c r="M78" s="712">
        <f t="shared" si="25"/>
        <v>0</v>
      </c>
      <c r="N78" s="712">
        <f t="shared" si="25"/>
        <v>0</v>
      </c>
      <c r="O78" s="712">
        <f t="shared" si="25"/>
        <v>0</v>
      </c>
      <c r="P78" s="712">
        <f t="shared" si="25"/>
        <v>0</v>
      </c>
      <c r="Q78" s="713" t="e">
        <f t="shared" si="25"/>
        <v>#REF!</v>
      </c>
      <c r="R78" s="674" t="e">
        <f t="shared" ref="R78:R87" si="26">SUM(F78:Q78)</f>
        <v>#REF!</v>
      </c>
    </row>
    <row r="79" spans="1:18" s="666" customFormat="1" outlineLevel="1">
      <c r="A79" s="710" t="s">
        <v>248</v>
      </c>
      <c r="B79" s="675"/>
      <c r="C79" s="676"/>
      <c r="D79" s="676"/>
      <c r="E79" s="677"/>
      <c r="F79" s="672"/>
      <c r="G79" s="688"/>
      <c r="H79" s="688"/>
      <c r="I79" s="688"/>
      <c r="J79" s="688"/>
      <c r="K79" s="688"/>
      <c r="L79" s="688"/>
      <c r="M79" s="688"/>
      <c r="N79" s="688"/>
      <c r="O79" s="688"/>
      <c r="P79" s="688"/>
      <c r="Q79" s="673"/>
      <c r="R79" s="674">
        <f t="shared" si="26"/>
        <v>0</v>
      </c>
    </row>
    <row r="80" spans="1:18" s="666" customFormat="1" ht="12.75" outlineLevel="1" thickBot="1">
      <c r="A80" s="714" t="s">
        <v>249</v>
      </c>
      <c r="B80" s="675"/>
      <c r="C80" s="676"/>
      <c r="D80" s="676"/>
      <c r="E80" s="677"/>
      <c r="F80" s="679"/>
      <c r="G80" s="680"/>
      <c r="H80" s="680"/>
      <c r="I80" s="680"/>
      <c r="J80" s="680"/>
      <c r="K80" s="680"/>
      <c r="L80" s="680"/>
      <c r="M80" s="680"/>
      <c r="N80" s="680"/>
      <c r="O80" s="680"/>
      <c r="P80" s="680"/>
      <c r="Q80" s="680"/>
      <c r="R80" s="681">
        <f t="shared" si="26"/>
        <v>0</v>
      </c>
    </row>
    <row r="81" spans="1:18" s="641" customFormat="1" ht="12.75" outlineLevel="1" thickBot="1">
      <c r="A81" s="715" t="s">
        <v>250</v>
      </c>
      <c r="B81" s="675"/>
      <c r="C81" s="676"/>
      <c r="D81" s="676"/>
      <c r="E81" s="677"/>
      <c r="F81" s="683"/>
      <c r="G81" s="655"/>
      <c r="H81" s="655"/>
      <c r="I81" s="655"/>
      <c r="J81" s="655"/>
      <c r="K81" s="655"/>
      <c r="L81" s="655"/>
      <c r="M81" s="655"/>
      <c r="N81" s="655"/>
      <c r="O81" s="655"/>
      <c r="P81" s="655"/>
      <c r="Q81" s="655"/>
      <c r="R81" s="684">
        <f t="shared" si="26"/>
        <v>0</v>
      </c>
    </row>
    <row r="82" spans="1:18" s="666" customFormat="1" outlineLevel="1">
      <c r="A82" s="718" t="s">
        <v>251</v>
      </c>
      <c r="B82" s="675"/>
      <c r="C82" s="676"/>
      <c r="D82" s="676"/>
      <c r="E82" s="677"/>
      <c r="F82" s="744"/>
      <c r="G82" s="688"/>
      <c r="H82" s="688"/>
      <c r="I82" s="688"/>
      <c r="J82" s="688"/>
      <c r="K82" s="688"/>
      <c r="L82" s="688"/>
      <c r="M82" s="688"/>
      <c r="N82" s="688"/>
      <c r="O82" s="688"/>
      <c r="P82" s="688"/>
      <c r="Q82" s="688" t="e">
        <f>Q77</f>
        <v>#REF!</v>
      </c>
      <c r="R82" s="689" t="e">
        <f t="shared" si="26"/>
        <v>#REF!</v>
      </c>
    </row>
    <row r="83" spans="1:18" s="666" customFormat="1" ht="24" outlineLevel="1">
      <c r="A83" s="722" t="s">
        <v>252</v>
      </c>
      <c r="B83" s="675"/>
      <c r="C83" s="676"/>
      <c r="D83" s="676"/>
      <c r="E83" s="677"/>
      <c r="F83" s="672"/>
      <c r="G83" s="673"/>
      <c r="H83" s="673"/>
      <c r="I83" s="673"/>
      <c r="J83" s="673"/>
      <c r="K83" s="673"/>
      <c r="L83" s="673"/>
      <c r="M83" s="673"/>
      <c r="N83" s="673"/>
      <c r="O83" s="673"/>
      <c r="P83" s="673"/>
      <c r="Q83" s="673"/>
      <c r="R83" s="674">
        <f t="shared" si="26"/>
        <v>0</v>
      </c>
    </row>
    <row r="84" spans="1:18" s="666" customFormat="1" outlineLevel="1">
      <c r="A84" s="722" t="s">
        <v>253</v>
      </c>
      <c r="B84" s="675"/>
      <c r="C84" s="676"/>
      <c r="D84" s="676"/>
      <c r="E84" s="677"/>
      <c r="F84" s="672"/>
      <c r="G84" s="673"/>
      <c r="H84" s="673"/>
      <c r="I84" s="673"/>
      <c r="J84" s="673"/>
      <c r="K84" s="673"/>
      <c r="L84" s="673"/>
      <c r="M84" s="673"/>
      <c r="N84" s="673"/>
      <c r="O84" s="673"/>
      <c r="P84" s="673"/>
      <c r="Q84" s="673"/>
      <c r="R84" s="674">
        <f t="shared" si="26"/>
        <v>0</v>
      </c>
    </row>
    <row r="85" spans="1:18" s="666" customFormat="1" outlineLevel="1">
      <c r="A85" s="722" t="s">
        <v>254</v>
      </c>
      <c r="B85" s="675"/>
      <c r="C85" s="676"/>
      <c r="D85" s="676"/>
      <c r="E85" s="677"/>
      <c r="F85" s="672"/>
      <c r="G85" s="673"/>
      <c r="H85" s="673"/>
      <c r="I85" s="673"/>
      <c r="J85" s="673"/>
      <c r="K85" s="673"/>
      <c r="L85" s="673"/>
      <c r="M85" s="673"/>
      <c r="N85" s="673"/>
      <c r="O85" s="673"/>
      <c r="P85" s="673"/>
      <c r="Q85" s="673"/>
      <c r="R85" s="674">
        <f t="shared" si="26"/>
        <v>0</v>
      </c>
    </row>
    <row r="86" spans="1:18" s="666" customFormat="1" outlineLevel="1">
      <c r="A86" s="722" t="s">
        <v>255</v>
      </c>
      <c r="B86" s="675"/>
      <c r="C86" s="676"/>
      <c r="D86" s="676"/>
      <c r="E86" s="677"/>
      <c r="F86" s="672"/>
      <c r="G86" s="673"/>
      <c r="H86" s="673"/>
      <c r="I86" s="673"/>
      <c r="J86" s="673"/>
      <c r="K86" s="673"/>
      <c r="L86" s="673"/>
      <c r="M86" s="673"/>
      <c r="N86" s="673"/>
      <c r="O86" s="673"/>
      <c r="P86" s="673"/>
      <c r="Q86" s="673"/>
      <c r="R86" s="674">
        <f t="shared" si="26"/>
        <v>0</v>
      </c>
    </row>
    <row r="87" spans="1:18" s="666" customFormat="1" outlineLevel="1">
      <c r="A87" s="725" t="s">
        <v>256</v>
      </c>
      <c r="B87" s="694"/>
      <c r="C87" s="695"/>
      <c r="D87" s="696"/>
      <c r="E87" s="697"/>
      <c r="F87" s="698" t="e">
        <f t="shared" ref="F87:Q87" si="27">(F77+G77)/2*F$4</f>
        <v>#REF!</v>
      </c>
      <c r="G87" s="698" t="e">
        <f t="shared" si="27"/>
        <v>#REF!</v>
      </c>
      <c r="H87" s="698" t="e">
        <f t="shared" si="27"/>
        <v>#REF!</v>
      </c>
      <c r="I87" s="698" t="e">
        <f t="shared" si="27"/>
        <v>#REF!</v>
      </c>
      <c r="J87" s="698" t="e">
        <f t="shared" si="27"/>
        <v>#REF!</v>
      </c>
      <c r="K87" s="698" t="e">
        <f t="shared" si="27"/>
        <v>#REF!</v>
      </c>
      <c r="L87" s="698" t="e">
        <f t="shared" si="27"/>
        <v>#REF!</v>
      </c>
      <c r="M87" s="698" t="e">
        <f t="shared" si="27"/>
        <v>#REF!</v>
      </c>
      <c r="N87" s="698" t="e">
        <f t="shared" si="27"/>
        <v>#REF!</v>
      </c>
      <c r="O87" s="698" t="e">
        <f t="shared" si="27"/>
        <v>#REF!</v>
      </c>
      <c r="P87" s="698" t="e">
        <f t="shared" si="27"/>
        <v>#REF!</v>
      </c>
      <c r="Q87" s="698" t="e">
        <f t="shared" si="27"/>
        <v>#REF!</v>
      </c>
      <c r="R87" s="699" t="e">
        <f t="shared" si="26"/>
        <v>#REF!</v>
      </c>
    </row>
    <row r="88" spans="1:18" s="666" customFormat="1" ht="12.75" outlineLevel="1" thickBot="1">
      <c r="A88" s="700" t="s">
        <v>257</v>
      </c>
      <c r="B88" s="701"/>
      <c r="C88" s="701"/>
      <c r="D88" s="702"/>
      <c r="E88" s="703"/>
      <c r="F88" s="704" t="e">
        <f t="shared" ref="F88:Q88" si="28">F87/F$4</f>
        <v>#REF!</v>
      </c>
      <c r="G88" s="705" t="e">
        <f t="shared" si="28"/>
        <v>#REF!</v>
      </c>
      <c r="H88" s="705" t="e">
        <f t="shared" si="28"/>
        <v>#REF!</v>
      </c>
      <c r="I88" s="705" t="e">
        <f t="shared" si="28"/>
        <v>#REF!</v>
      </c>
      <c r="J88" s="705" t="e">
        <f t="shared" si="28"/>
        <v>#REF!</v>
      </c>
      <c r="K88" s="705" t="e">
        <f t="shared" si="28"/>
        <v>#REF!</v>
      </c>
      <c r="L88" s="705" t="e">
        <f t="shared" si="28"/>
        <v>#REF!</v>
      </c>
      <c r="M88" s="705" t="e">
        <f t="shared" si="28"/>
        <v>#REF!</v>
      </c>
      <c r="N88" s="705" t="e">
        <f t="shared" si="28"/>
        <v>#REF!</v>
      </c>
      <c r="O88" s="705" t="e">
        <f t="shared" si="28"/>
        <v>#REF!</v>
      </c>
      <c r="P88" s="705" t="e">
        <f t="shared" si="28"/>
        <v>#REF!</v>
      </c>
      <c r="Q88" s="705" t="e">
        <f t="shared" si="28"/>
        <v>#REF!</v>
      </c>
      <c r="R88" s="706" t="e">
        <f>R87/R$4</f>
        <v>#REF!</v>
      </c>
    </row>
    <row r="89" spans="1:18" s="641" customFormat="1" ht="12.75" thickBot="1">
      <c r="A89" s="650" t="s">
        <v>265</v>
      </c>
      <c r="B89" s="651"/>
      <c r="C89" s="651"/>
      <c r="D89" s="652"/>
      <c r="E89" s="652"/>
      <c r="F89" s="651"/>
      <c r="G89" s="651"/>
      <c r="H89" s="651"/>
      <c r="I89" s="651"/>
      <c r="J89" s="651"/>
      <c r="K89" s="651"/>
      <c r="L89" s="651"/>
      <c r="M89" s="651"/>
      <c r="N89" s="651"/>
      <c r="O89" s="651"/>
      <c r="P89" s="651"/>
      <c r="Q89" s="651"/>
      <c r="R89" s="653"/>
    </row>
    <row r="90" spans="1:18" s="641" customFormat="1" ht="12.75" outlineLevel="1" thickBot="1">
      <c r="A90" s="654" t="s">
        <v>245</v>
      </c>
      <c r="B90" s="655"/>
      <c r="C90" s="655"/>
      <c r="D90" s="656"/>
      <c r="E90" s="657"/>
      <c r="F90" s="655"/>
      <c r="G90" s="655"/>
      <c r="H90" s="655"/>
      <c r="I90" s="655"/>
      <c r="J90" s="655"/>
      <c r="K90" s="655"/>
      <c r="L90" s="655"/>
      <c r="M90" s="655"/>
      <c r="N90" s="655"/>
      <c r="O90" s="655"/>
      <c r="P90" s="655"/>
      <c r="Q90" s="655"/>
      <c r="R90" s="658"/>
    </row>
    <row r="91" spans="1:18" s="666" customFormat="1" outlineLevel="1">
      <c r="A91" s="659" t="s">
        <v>259</v>
      </c>
      <c r="B91" s="707" t="e">
        <f>'КРМД-23'!R90</f>
        <v>#REF!</v>
      </c>
      <c r="C91" s="660" t="e">
        <f>B91</f>
        <v>#REF!</v>
      </c>
      <c r="D91" s="708" t="e">
        <f>+B91*0.27</f>
        <v>#REF!</v>
      </c>
      <c r="E91" s="662" t="e">
        <f>B91*45</f>
        <v>#REF!</v>
      </c>
      <c r="F91" s="663" t="e">
        <f>B91</f>
        <v>#REF!</v>
      </c>
      <c r="G91" s="709" t="e">
        <f t="shared" ref="G91:Q91" si="29">(F91+F92+F93+F94-F96-F97-F98-F99-F100)</f>
        <v>#REF!</v>
      </c>
      <c r="H91" s="709" t="e">
        <f t="shared" si="29"/>
        <v>#REF!</v>
      </c>
      <c r="I91" s="709" t="e">
        <f t="shared" si="29"/>
        <v>#REF!</v>
      </c>
      <c r="J91" s="709" t="e">
        <f t="shared" si="29"/>
        <v>#REF!</v>
      </c>
      <c r="K91" s="709" t="e">
        <f t="shared" si="29"/>
        <v>#REF!</v>
      </c>
      <c r="L91" s="709" t="e">
        <f t="shared" si="29"/>
        <v>#REF!</v>
      </c>
      <c r="M91" s="709" t="e">
        <f t="shared" si="29"/>
        <v>#REF!</v>
      </c>
      <c r="N91" s="709" t="e">
        <f t="shared" si="29"/>
        <v>#REF!</v>
      </c>
      <c r="O91" s="709" t="e">
        <f t="shared" si="29"/>
        <v>#REF!</v>
      </c>
      <c r="P91" s="709" t="e">
        <f t="shared" si="29"/>
        <v>#REF!</v>
      </c>
      <c r="Q91" s="664" t="e">
        <f t="shared" si="29"/>
        <v>#REF!</v>
      </c>
      <c r="R91" s="665" t="e">
        <f>(Q91+Q92+Q93+Q94-Q96-Q97-Q98-Q99-Q100)</f>
        <v>#REF!</v>
      </c>
    </row>
    <row r="92" spans="1:18" s="666" customFormat="1" outlineLevel="1">
      <c r="A92" s="710" t="s">
        <v>247</v>
      </c>
      <c r="B92" s="668"/>
      <c r="C92" s="669"/>
      <c r="D92" s="670"/>
      <c r="E92" s="671"/>
      <c r="F92" s="711">
        <f>F110</f>
        <v>0</v>
      </c>
      <c r="G92" s="712">
        <f>G110</f>
        <v>0</v>
      </c>
      <c r="H92" s="712">
        <f t="shared" ref="H92:Q92" si="30">H110</f>
        <v>0</v>
      </c>
      <c r="I92" s="712">
        <f t="shared" si="30"/>
        <v>0</v>
      </c>
      <c r="J92" s="712">
        <f t="shared" si="30"/>
        <v>0</v>
      </c>
      <c r="K92" s="712">
        <f t="shared" si="30"/>
        <v>0</v>
      </c>
      <c r="L92" s="712">
        <f t="shared" si="30"/>
        <v>0</v>
      </c>
      <c r="M92" s="712">
        <f t="shared" si="30"/>
        <v>0</v>
      </c>
      <c r="N92" s="712">
        <f t="shared" si="30"/>
        <v>0</v>
      </c>
      <c r="O92" s="712">
        <f t="shared" si="30"/>
        <v>0</v>
      </c>
      <c r="P92" s="712">
        <f t="shared" si="30"/>
        <v>0</v>
      </c>
      <c r="Q92" s="713" t="e">
        <f t="shared" si="30"/>
        <v>#REF!</v>
      </c>
      <c r="R92" s="674" t="e">
        <f t="shared" ref="R92:R101" si="31">SUM(F92:Q92)</f>
        <v>#REF!</v>
      </c>
    </row>
    <row r="93" spans="1:18" s="666" customFormat="1" outlineLevel="1">
      <c r="A93" s="710" t="s">
        <v>248</v>
      </c>
      <c r="B93" s="675"/>
      <c r="C93" s="676"/>
      <c r="D93" s="676"/>
      <c r="E93" s="677"/>
      <c r="F93" s="672"/>
      <c r="G93" s="688"/>
      <c r="H93" s="688"/>
      <c r="I93" s="688"/>
      <c r="J93" s="688"/>
      <c r="K93" s="688"/>
      <c r="L93" s="688"/>
      <c r="M93" s="688"/>
      <c r="N93" s="688"/>
      <c r="O93" s="688"/>
      <c r="P93" s="688"/>
      <c r="Q93" s="673"/>
      <c r="R93" s="674">
        <f t="shared" si="31"/>
        <v>0</v>
      </c>
    </row>
    <row r="94" spans="1:18" s="666" customFormat="1" ht="12.75" outlineLevel="1" thickBot="1">
      <c r="A94" s="714" t="s">
        <v>249</v>
      </c>
      <c r="B94" s="675"/>
      <c r="C94" s="676"/>
      <c r="D94" s="676"/>
      <c r="E94" s="677"/>
      <c r="F94" s="679"/>
      <c r="G94" s="680"/>
      <c r="H94" s="680"/>
      <c r="I94" s="680"/>
      <c r="J94" s="680"/>
      <c r="K94" s="680"/>
      <c r="L94" s="680"/>
      <c r="M94" s="680"/>
      <c r="N94" s="680"/>
      <c r="O94" s="680"/>
      <c r="P94" s="680"/>
      <c r="Q94" s="680"/>
      <c r="R94" s="681">
        <f t="shared" si="31"/>
        <v>0</v>
      </c>
    </row>
    <row r="95" spans="1:18" s="641" customFormat="1" ht="12.75" outlineLevel="1" thickBot="1">
      <c r="A95" s="715" t="s">
        <v>250</v>
      </c>
      <c r="B95" s="675"/>
      <c r="C95" s="676"/>
      <c r="D95" s="676"/>
      <c r="E95" s="677"/>
      <c r="F95" s="683"/>
      <c r="G95" s="655"/>
      <c r="H95" s="655"/>
      <c r="I95" s="655"/>
      <c r="J95" s="655"/>
      <c r="K95" s="655"/>
      <c r="L95" s="655"/>
      <c r="M95" s="655"/>
      <c r="N95" s="655"/>
      <c r="O95" s="655"/>
      <c r="P95" s="655"/>
      <c r="Q95" s="655"/>
      <c r="R95" s="684">
        <f t="shared" si="31"/>
        <v>0</v>
      </c>
    </row>
    <row r="96" spans="1:18" s="666" customFormat="1" outlineLevel="1">
      <c r="A96" s="718" t="s">
        <v>251</v>
      </c>
      <c r="B96" s="675"/>
      <c r="C96" s="676"/>
      <c r="D96" s="676"/>
      <c r="E96" s="677"/>
      <c r="F96" s="744"/>
      <c r="G96" s="688"/>
      <c r="H96" s="688"/>
      <c r="I96" s="688"/>
      <c r="J96" s="688"/>
      <c r="K96" s="688"/>
      <c r="L96" s="688"/>
      <c r="M96" s="688"/>
      <c r="N96" s="688"/>
      <c r="O96" s="688"/>
      <c r="P96" s="688"/>
      <c r="Q96" s="688" t="e">
        <f>Q91</f>
        <v>#REF!</v>
      </c>
      <c r="R96" s="689" t="e">
        <f t="shared" si="31"/>
        <v>#REF!</v>
      </c>
    </row>
    <row r="97" spans="1:18" s="666" customFormat="1" ht="24" outlineLevel="1">
      <c r="A97" s="722" t="s">
        <v>252</v>
      </c>
      <c r="B97" s="675"/>
      <c r="C97" s="676"/>
      <c r="D97" s="676"/>
      <c r="E97" s="677"/>
      <c r="F97" s="672"/>
      <c r="G97" s="673"/>
      <c r="H97" s="673"/>
      <c r="I97" s="673"/>
      <c r="J97" s="673"/>
      <c r="K97" s="673"/>
      <c r="L97" s="673"/>
      <c r="M97" s="673"/>
      <c r="N97" s="673"/>
      <c r="O97" s="673"/>
      <c r="P97" s="673"/>
      <c r="Q97" s="673"/>
      <c r="R97" s="674">
        <f t="shared" si="31"/>
        <v>0</v>
      </c>
    </row>
    <row r="98" spans="1:18" s="666" customFormat="1" outlineLevel="1">
      <c r="A98" s="722" t="s">
        <v>253</v>
      </c>
      <c r="B98" s="675"/>
      <c r="C98" s="676"/>
      <c r="D98" s="676"/>
      <c r="E98" s="677"/>
      <c r="F98" s="672"/>
      <c r="G98" s="673"/>
      <c r="H98" s="673"/>
      <c r="I98" s="673"/>
      <c r="J98" s="673"/>
      <c r="K98" s="673"/>
      <c r="L98" s="673"/>
      <c r="M98" s="673"/>
      <c r="N98" s="673"/>
      <c r="O98" s="673"/>
      <c r="P98" s="673"/>
      <c r="Q98" s="673"/>
      <c r="R98" s="674">
        <f t="shared" si="31"/>
        <v>0</v>
      </c>
    </row>
    <row r="99" spans="1:18" s="666" customFormat="1" outlineLevel="1">
      <c r="A99" s="722" t="s">
        <v>254</v>
      </c>
      <c r="B99" s="675"/>
      <c r="C99" s="676"/>
      <c r="D99" s="676"/>
      <c r="E99" s="677"/>
      <c r="F99" s="672"/>
      <c r="G99" s="673"/>
      <c r="H99" s="673"/>
      <c r="I99" s="673"/>
      <c r="J99" s="673"/>
      <c r="K99" s="673"/>
      <c r="L99" s="673"/>
      <c r="M99" s="673"/>
      <c r="N99" s="673"/>
      <c r="O99" s="673"/>
      <c r="P99" s="673"/>
      <c r="Q99" s="673"/>
      <c r="R99" s="674">
        <f t="shared" si="31"/>
        <v>0</v>
      </c>
    </row>
    <row r="100" spans="1:18" s="666" customFormat="1" outlineLevel="1">
      <c r="A100" s="722" t="s">
        <v>255</v>
      </c>
      <c r="B100" s="675"/>
      <c r="C100" s="676"/>
      <c r="D100" s="676"/>
      <c r="E100" s="677"/>
      <c r="F100" s="672"/>
      <c r="G100" s="673"/>
      <c r="H100" s="673"/>
      <c r="I100" s="673"/>
      <c r="J100" s="673"/>
      <c r="K100" s="673"/>
      <c r="L100" s="673"/>
      <c r="M100" s="673"/>
      <c r="N100" s="673"/>
      <c r="O100" s="673"/>
      <c r="P100" s="673"/>
      <c r="Q100" s="673"/>
      <c r="R100" s="674">
        <f t="shared" si="31"/>
        <v>0</v>
      </c>
    </row>
    <row r="101" spans="1:18" s="666" customFormat="1" outlineLevel="1">
      <c r="A101" s="725" t="s">
        <v>256</v>
      </c>
      <c r="B101" s="694"/>
      <c r="C101" s="695"/>
      <c r="D101" s="696"/>
      <c r="E101" s="697"/>
      <c r="F101" s="698" t="e">
        <f t="shared" ref="F101:Q101" si="32">(F91+G91)/2*F$4</f>
        <v>#REF!</v>
      </c>
      <c r="G101" s="698" t="e">
        <f t="shared" si="32"/>
        <v>#REF!</v>
      </c>
      <c r="H101" s="698" t="e">
        <f t="shared" si="32"/>
        <v>#REF!</v>
      </c>
      <c r="I101" s="698" t="e">
        <f t="shared" si="32"/>
        <v>#REF!</v>
      </c>
      <c r="J101" s="698" t="e">
        <f t="shared" si="32"/>
        <v>#REF!</v>
      </c>
      <c r="K101" s="698" t="e">
        <f t="shared" si="32"/>
        <v>#REF!</v>
      </c>
      <c r="L101" s="698" t="e">
        <f t="shared" si="32"/>
        <v>#REF!</v>
      </c>
      <c r="M101" s="698" t="e">
        <f t="shared" si="32"/>
        <v>#REF!</v>
      </c>
      <c r="N101" s="698" t="e">
        <f t="shared" si="32"/>
        <v>#REF!</v>
      </c>
      <c r="O101" s="698" t="e">
        <f t="shared" si="32"/>
        <v>#REF!</v>
      </c>
      <c r="P101" s="698" t="e">
        <f t="shared" si="32"/>
        <v>#REF!</v>
      </c>
      <c r="Q101" s="698" t="e">
        <f t="shared" si="32"/>
        <v>#REF!</v>
      </c>
      <c r="R101" s="699" t="e">
        <f t="shared" si="31"/>
        <v>#REF!</v>
      </c>
    </row>
    <row r="102" spans="1:18" s="666" customFormat="1" ht="12.75" outlineLevel="1" thickBot="1">
      <c r="A102" s="700" t="s">
        <v>257</v>
      </c>
      <c r="B102" s="701"/>
      <c r="C102" s="701"/>
      <c r="D102" s="702"/>
      <c r="E102" s="703"/>
      <c r="F102" s="704" t="e">
        <f t="shared" ref="F102:Q102" si="33">F101/F$4</f>
        <v>#REF!</v>
      </c>
      <c r="G102" s="705" t="e">
        <f t="shared" si="33"/>
        <v>#REF!</v>
      </c>
      <c r="H102" s="705" t="e">
        <f t="shared" si="33"/>
        <v>#REF!</v>
      </c>
      <c r="I102" s="705" t="e">
        <f t="shared" si="33"/>
        <v>#REF!</v>
      </c>
      <c r="J102" s="705" t="e">
        <f t="shared" si="33"/>
        <v>#REF!</v>
      </c>
      <c r="K102" s="705" t="e">
        <f t="shared" si="33"/>
        <v>#REF!</v>
      </c>
      <c r="L102" s="705" t="e">
        <f t="shared" si="33"/>
        <v>#REF!</v>
      </c>
      <c r="M102" s="705" t="e">
        <f t="shared" si="33"/>
        <v>#REF!</v>
      </c>
      <c r="N102" s="705" t="e">
        <f t="shared" si="33"/>
        <v>#REF!</v>
      </c>
      <c r="O102" s="705" t="e">
        <f t="shared" si="33"/>
        <v>#REF!</v>
      </c>
      <c r="P102" s="705" t="e">
        <f t="shared" si="33"/>
        <v>#REF!</v>
      </c>
      <c r="Q102" s="705" t="e">
        <f t="shared" si="33"/>
        <v>#REF!</v>
      </c>
      <c r="R102" s="706" t="e">
        <f>R101/R$4</f>
        <v>#REF!</v>
      </c>
    </row>
    <row r="103" spans="1:18" s="641" customFormat="1" ht="12.75" thickBot="1">
      <c r="A103" s="650" t="s">
        <v>266</v>
      </c>
      <c r="B103" s="651"/>
      <c r="C103" s="651"/>
      <c r="D103" s="652"/>
      <c r="E103" s="652"/>
      <c r="F103" s="651"/>
      <c r="G103" s="651"/>
      <c r="H103" s="651"/>
      <c r="I103" s="651"/>
      <c r="J103" s="651"/>
      <c r="K103" s="651"/>
      <c r="L103" s="651"/>
      <c r="M103" s="651"/>
      <c r="N103" s="651"/>
      <c r="O103" s="651"/>
      <c r="P103" s="651"/>
      <c r="Q103" s="651"/>
      <c r="R103" s="653"/>
    </row>
    <row r="104" spans="1:18" s="641" customFormat="1" ht="12.75" outlineLevel="1" thickBot="1">
      <c r="A104" s="654" t="s">
        <v>245</v>
      </c>
      <c r="B104" s="655"/>
      <c r="C104" s="655"/>
      <c r="D104" s="656"/>
      <c r="E104" s="657"/>
      <c r="F104" s="655"/>
      <c r="G104" s="655"/>
      <c r="H104" s="655"/>
      <c r="I104" s="655"/>
      <c r="J104" s="655"/>
      <c r="K104" s="655"/>
      <c r="L104" s="655"/>
      <c r="M104" s="655"/>
      <c r="N104" s="655"/>
      <c r="O104" s="655"/>
      <c r="P104" s="655"/>
      <c r="Q104" s="655"/>
      <c r="R104" s="658"/>
    </row>
    <row r="105" spans="1:18" s="666" customFormat="1" outlineLevel="1">
      <c r="A105" s="659" t="s">
        <v>259</v>
      </c>
      <c r="B105" s="707" t="e">
        <f>'КРМД-23'!R104</f>
        <v>#REF!</v>
      </c>
      <c r="C105" s="660" t="e">
        <f>B105</f>
        <v>#REF!</v>
      </c>
      <c r="D105" s="708" t="e">
        <f>+B105*0.18</f>
        <v>#REF!</v>
      </c>
      <c r="E105" s="662" t="e">
        <f>B105*45</f>
        <v>#REF!</v>
      </c>
      <c r="F105" s="663" t="e">
        <f>B105</f>
        <v>#REF!</v>
      </c>
      <c r="G105" s="709" t="e">
        <f t="shared" ref="G105:Q105" si="34">(F105+F106+F107+F108-F110-F111-F112-F113-F114)</f>
        <v>#REF!</v>
      </c>
      <c r="H105" s="709" t="e">
        <f t="shared" si="34"/>
        <v>#REF!</v>
      </c>
      <c r="I105" s="709" t="e">
        <f t="shared" si="34"/>
        <v>#REF!</v>
      </c>
      <c r="J105" s="709" t="e">
        <f t="shared" si="34"/>
        <v>#REF!</v>
      </c>
      <c r="K105" s="709" t="e">
        <f t="shared" si="34"/>
        <v>#REF!</v>
      </c>
      <c r="L105" s="709" t="e">
        <f t="shared" si="34"/>
        <v>#REF!</v>
      </c>
      <c r="M105" s="709" t="e">
        <f t="shared" si="34"/>
        <v>#REF!</v>
      </c>
      <c r="N105" s="709" t="e">
        <f t="shared" si="34"/>
        <v>#REF!</v>
      </c>
      <c r="O105" s="709" t="e">
        <f t="shared" si="34"/>
        <v>#REF!</v>
      </c>
      <c r="P105" s="709" t="e">
        <f t="shared" si="34"/>
        <v>#REF!</v>
      </c>
      <c r="Q105" s="664" t="e">
        <f t="shared" si="34"/>
        <v>#REF!</v>
      </c>
      <c r="R105" s="665" t="e">
        <f>(Q105+Q106+Q107+Q108-Q110-Q111-Q112-Q113-Q114)</f>
        <v>#REF!</v>
      </c>
    </row>
    <row r="106" spans="1:18" s="666" customFormat="1" outlineLevel="1">
      <c r="A106" s="710" t="s">
        <v>247</v>
      </c>
      <c r="B106" s="668"/>
      <c r="C106" s="669"/>
      <c r="D106" s="670"/>
      <c r="E106" s="671"/>
      <c r="F106" s="711">
        <f t="shared" ref="F106:Q106" si="35">F166</f>
        <v>0</v>
      </c>
      <c r="G106" s="712">
        <f t="shared" si="35"/>
        <v>0</v>
      </c>
      <c r="H106" s="712">
        <f t="shared" si="35"/>
        <v>0</v>
      </c>
      <c r="I106" s="712">
        <f t="shared" si="35"/>
        <v>0</v>
      </c>
      <c r="J106" s="712">
        <f t="shared" si="35"/>
        <v>0</v>
      </c>
      <c r="K106" s="712">
        <f t="shared" si="35"/>
        <v>0</v>
      </c>
      <c r="L106" s="712">
        <f t="shared" si="35"/>
        <v>0</v>
      </c>
      <c r="M106" s="712">
        <f t="shared" si="35"/>
        <v>0</v>
      </c>
      <c r="N106" s="712">
        <f t="shared" si="35"/>
        <v>0</v>
      </c>
      <c r="O106" s="712">
        <f t="shared" si="35"/>
        <v>0</v>
      </c>
      <c r="P106" s="712">
        <f t="shared" si="35"/>
        <v>0</v>
      </c>
      <c r="Q106" s="713" t="e">
        <f t="shared" si="35"/>
        <v>#REF!</v>
      </c>
      <c r="R106" s="674" t="e">
        <f t="shared" ref="R106:R115" si="36">SUM(F106:Q106)</f>
        <v>#REF!</v>
      </c>
    </row>
    <row r="107" spans="1:18" s="666" customFormat="1" outlineLevel="1">
      <c r="A107" s="710" t="s">
        <v>248</v>
      </c>
      <c r="B107" s="675"/>
      <c r="C107" s="676"/>
      <c r="D107" s="676"/>
      <c r="E107" s="677"/>
      <c r="F107" s="672"/>
      <c r="G107" s="688"/>
      <c r="H107" s="688"/>
      <c r="I107" s="688"/>
      <c r="J107" s="688"/>
      <c r="K107" s="688"/>
      <c r="L107" s="688"/>
      <c r="M107" s="688"/>
      <c r="N107" s="688"/>
      <c r="O107" s="688"/>
      <c r="P107" s="688"/>
      <c r="Q107" s="673"/>
      <c r="R107" s="674">
        <f t="shared" si="36"/>
        <v>0</v>
      </c>
    </row>
    <row r="108" spans="1:18" s="666" customFormat="1" ht="12.75" outlineLevel="1" thickBot="1">
      <c r="A108" s="714" t="s">
        <v>249</v>
      </c>
      <c r="B108" s="675"/>
      <c r="C108" s="676"/>
      <c r="D108" s="676"/>
      <c r="E108" s="677"/>
      <c r="F108" s="679"/>
      <c r="G108" s="680"/>
      <c r="H108" s="680"/>
      <c r="I108" s="680"/>
      <c r="J108" s="680"/>
      <c r="K108" s="680"/>
      <c r="L108" s="680"/>
      <c r="M108" s="680"/>
      <c r="N108" s="680"/>
      <c r="O108" s="680"/>
      <c r="P108" s="680"/>
      <c r="Q108" s="680"/>
      <c r="R108" s="681">
        <f t="shared" si="36"/>
        <v>0</v>
      </c>
    </row>
    <row r="109" spans="1:18" s="641" customFormat="1" ht="12.75" outlineLevel="1" thickBot="1">
      <c r="A109" s="715" t="s">
        <v>250</v>
      </c>
      <c r="B109" s="675"/>
      <c r="C109" s="676"/>
      <c r="D109" s="676"/>
      <c r="E109" s="677"/>
      <c r="F109" s="683"/>
      <c r="G109" s="655"/>
      <c r="H109" s="655"/>
      <c r="I109" s="655"/>
      <c r="J109" s="655"/>
      <c r="K109" s="655"/>
      <c r="L109" s="655"/>
      <c r="M109" s="655"/>
      <c r="N109" s="655"/>
      <c r="O109" s="655"/>
      <c r="P109" s="655"/>
      <c r="Q109" s="655"/>
      <c r="R109" s="684">
        <f t="shared" si="36"/>
        <v>0</v>
      </c>
    </row>
    <row r="110" spans="1:18" s="666" customFormat="1" outlineLevel="1">
      <c r="A110" s="718" t="s">
        <v>251</v>
      </c>
      <c r="B110" s="675"/>
      <c r="C110" s="676"/>
      <c r="D110" s="676"/>
      <c r="E110" s="677"/>
      <c r="F110" s="744"/>
      <c r="G110" s="688"/>
      <c r="H110" s="688"/>
      <c r="I110" s="688"/>
      <c r="J110" s="688"/>
      <c r="K110" s="688"/>
      <c r="L110" s="688"/>
      <c r="M110" s="688"/>
      <c r="N110" s="688"/>
      <c r="O110" s="688"/>
      <c r="P110" s="688"/>
      <c r="Q110" s="688" t="e">
        <f>Q105</f>
        <v>#REF!</v>
      </c>
      <c r="R110" s="689" t="e">
        <f t="shared" si="36"/>
        <v>#REF!</v>
      </c>
    </row>
    <row r="111" spans="1:18" s="666" customFormat="1" ht="22.5" customHeight="1" outlineLevel="1">
      <c r="A111" s="722" t="s">
        <v>252</v>
      </c>
      <c r="B111" s="675"/>
      <c r="C111" s="676"/>
      <c r="D111" s="676"/>
      <c r="E111" s="677"/>
      <c r="F111" s="672"/>
      <c r="G111" s="673"/>
      <c r="H111" s="673"/>
      <c r="I111" s="673"/>
      <c r="J111" s="673"/>
      <c r="K111" s="673"/>
      <c r="L111" s="673"/>
      <c r="M111" s="673"/>
      <c r="N111" s="673"/>
      <c r="O111" s="673"/>
      <c r="P111" s="673"/>
      <c r="Q111" s="673"/>
      <c r="R111" s="674">
        <f t="shared" si="36"/>
        <v>0</v>
      </c>
    </row>
    <row r="112" spans="1:18" s="666" customFormat="1" outlineLevel="1">
      <c r="A112" s="722" t="s">
        <v>253</v>
      </c>
      <c r="B112" s="675"/>
      <c r="C112" s="676"/>
      <c r="D112" s="676"/>
      <c r="E112" s="677"/>
      <c r="F112" s="672"/>
      <c r="G112" s="673"/>
      <c r="H112" s="673"/>
      <c r="I112" s="673"/>
      <c r="J112" s="673"/>
      <c r="K112" s="673"/>
      <c r="L112" s="673"/>
      <c r="M112" s="673"/>
      <c r="N112" s="673"/>
      <c r="O112" s="673"/>
      <c r="P112" s="673"/>
      <c r="Q112" s="673"/>
      <c r="R112" s="674">
        <f t="shared" si="36"/>
        <v>0</v>
      </c>
    </row>
    <row r="113" spans="1:18" s="666" customFormat="1" outlineLevel="1">
      <c r="A113" s="722" t="s">
        <v>254</v>
      </c>
      <c r="B113" s="675"/>
      <c r="C113" s="676"/>
      <c r="D113" s="676"/>
      <c r="E113" s="677"/>
      <c r="F113" s="672"/>
      <c r="G113" s="673"/>
      <c r="H113" s="673"/>
      <c r="I113" s="673"/>
      <c r="J113" s="673"/>
      <c r="K113" s="673"/>
      <c r="L113" s="673"/>
      <c r="M113" s="673"/>
      <c r="N113" s="673"/>
      <c r="O113" s="673"/>
      <c r="P113" s="673"/>
      <c r="Q113" s="673"/>
      <c r="R113" s="674">
        <f t="shared" si="36"/>
        <v>0</v>
      </c>
    </row>
    <row r="114" spans="1:18" s="666" customFormat="1" outlineLevel="1">
      <c r="A114" s="722" t="s">
        <v>255</v>
      </c>
      <c r="B114" s="675"/>
      <c r="C114" s="676"/>
      <c r="D114" s="676"/>
      <c r="E114" s="677"/>
      <c r="F114" s="672"/>
      <c r="G114" s="673"/>
      <c r="H114" s="673"/>
      <c r="I114" s="673"/>
      <c r="J114" s="673"/>
      <c r="K114" s="673"/>
      <c r="L114" s="673"/>
      <c r="M114" s="673"/>
      <c r="N114" s="673"/>
      <c r="O114" s="673"/>
      <c r="P114" s="673"/>
      <c r="Q114" s="673"/>
      <c r="R114" s="674">
        <f t="shared" si="36"/>
        <v>0</v>
      </c>
    </row>
    <row r="115" spans="1:18" s="666" customFormat="1" outlineLevel="1">
      <c r="A115" s="725" t="s">
        <v>256</v>
      </c>
      <c r="B115" s="694"/>
      <c r="C115" s="695"/>
      <c r="D115" s="696"/>
      <c r="E115" s="697"/>
      <c r="F115" s="698" t="e">
        <f t="shared" ref="F115:Q115" si="37">(F105+G105)/2*F$4</f>
        <v>#REF!</v>
      </c>
      <c r="G115" s="698" t="e">
        <f t="shared" si="37"/>
        <v>#REF!</v>
      </c>
      <c r="H115" s="698" t="e">
        <f t="shared" si="37"/>
        <v>#REF!</v>
      </c>
      <c r="I115" s="698" t="e">
        <f t="shared" si="37"/>
        <v>#REF!</v>
      </c>
      <c r="J115" s="698" t="e">
        <f t="shared" si="37"/>
        <v>#REF!</v>
      </c>
      <c r="K115" s="698" t="e">
        <f t="shared" si="37"/>
        <v>#REF!</v>
      </c>
      <c r="L115" s="698" t="e">
        <f t="shared" si="37"/>
        <v>#REF!</v>
      </c>
      <c r="M115" s="698" t="e">
        <f t="shared" si="37"/>
        <v>#REF!</v>
      </c>
      <c r="N115" s="698" t="e">
        <f t="shared" si="37"/>
        <v>#REF!</v>
      </c>
      <c r="O115" s="698" t="e">
        <f t="shared" si="37"/>
        <v>#REF!</v>
      </c>
      <c r="P115" s="698" t="e">
        <f t="shared" si="37"/>
        <v>#REF!</v>
      </c>
      <c r="Q115" s="698" t="e">
        <f t="shared" si="37"/>
        <v>#REF!</v>
      </c>
      <c r="R115" s="699" t="e">
        <f t="shared" si="36"/>
        <v>#REF!</v>
      </c>
    </row>
    <row r="116" spans="1:18" s="666" customFormat="1" ht="12.75" outlineLevel="1" thickBot="1">
      <c r="A116" s="700" t="s">
        <v>257</v>
      </c>
      <c r="B116" s="701"/>
      <c r="C116" s="701"/>
      <c r="D116" s="702"/>
      <c r="E116" s="703"/>
      <c r="F116" s="704" t="e">
        <f t="shared" ref="F116:Q116" si="38">F115/F$4</f>
        <v>#REF!</v>
      </c>
      <c r="G116" s="705" t="e">
        <f t="shared" si="38"/>
        <v>#REF!</v>
      </c>
      <c r="H116" s="705" t="e">
        <f t="shared" si="38"/>
        <v>#REF!</v>
      </c>
      <c r="I116" s="705" t="e">
        <f t="shared" si="38"/>
        <v>#REF!</v>
      </c>
      <c r="J116" s="705" t="e">
        <f t="shared" si="38"/>
        <v>#REF!</v>
      </c>
      <c r="K116" s="705" t="e">
        <f t="shared" si="38"/>
        <v>#REF!</v>
      </c>
      <c r="L116" s="705" t="e">
        <f t="shared" si="38"/>
        <v>#REF!</v>
      </c>
      <c r="M116" s="705" t="e">
        <f t="shared" si="38"/>
        <v>#REF!</v>
      </c>
      <c r="N116" s="705" t="e">
        <f t="shared" si="38"/>
        <v>#REF!</v>
      </c>
      <c r="O116" s="705" t="e">
        <f t="shared" si="38"/>
        <v>#REF!</v>
      </c>
      <c r="P116" s="705" t="e">
        <f t="shared" si="38"/>
        <v>#REF!</v>
      </c>
      <c r="Q116" s="705" t="e">
        <f t="shared" si="38"/>
        <v>#REF!</v>
      </c>
      <c r="R116" s="706" t="e">
        <f>R115/R$4</f>
        <v>#REF!</v>
      </c>
    </row>
    <row r="117" spans="1:18" s="641" customFormat="1" ht="12.75" thickBot="1">
      <c r="A117" s="650" t="s">
        <v>267</v>
      </c>
      <c r="B117" s="651"/>
      <c r="C117" s="651"/>
      <c r="D117" s="652"/>
      <c r="E117" s="652"/>
      <c r="F117" s="651"/>
      <c r="G117" s="651"/>
      <c r="H117" s="651"/>
      <c r="I117" s="651"/>
      <c r="J117" s="651"/>
      <c r="K117" s="651"/>
      <c r="L117" s="651"/>
      <c r="M117" s="651"/>
      <c r="N117" s="651"/>
      <c r="O117" s="651"/>
      <c r="P117" s="651"/>
      <c r="Q117" s="651"/>
      <c r="R117" s="653"/>
    </row>
    <row r="118" spans="1:18" s="641" customFormat="1" ht="12.75" outlineLevel="1" thickBot="1">
      <c r="A118" s="654" t="s">
        <v>245</v>
      </c>
      <c r="B118" s="655"/>
      <c r="C118" s="655"/>
      <c r="D118" s="656"/>
      <c r="E118" s="657"/>
      <c r="F118" s="655"/>
      <c r="G118" s="655"/>
      <c r="H118" s="655"/>
      <c r="I118" s="655"/>
      <c r="J118" s="655"/>
      <c r="K118" s="655"/>
      <c r="L118" s="655"/>
      <c r="M118" s="655"/>
      <c r="N118" s="655"/>
      <c r="O118" s="655"/>
      <c r="P118" s="655"/>
      <c r="Q118" s="655"/>
      <c r="R118" s="658"/>
    </row>
    <row r="119" spans="1:18" s="666" customFormat="1" outlineLevel="1">
      <c r="A119" s="659" t="s">
        <v>259</v>
      </c>
      <c r="B119" s="707" t="e">
        <f>'КРМД-23'!R118</f>
        <v>#REF!</v>
      </c>
      <c r="C119" s="660" t="e">
        <f>B119</f>
        <v>#REF!</v>
      </c>
      <c r="D119" s="708" t="e">
        <f>+B119*0.32</f>
        <v>#REF!</v>
      </c>
      <c r="E119" s="662"/>
      <c r="F119" s="663" t="e">
        <f>B119</f>
        <v>#REF!</v>
      </c>
      <c r="G119" s="709" t="e">
        <f t="shared" ref="G119:R119" si="39">(F119+F120+F121+F122-F124-F125-F126-F127-F128)</f>
        <v>#REF!</v>
      </c>
      <c r="H119" s="709" t="e">
        <f t="shared" si="39"/>
        <v>#REF!</v>
      </c>
      <c r="I119" s="709" t="e">
        <f t="shared" si="39"/>
        <v>#REF!</v>
      </c>
      <c r="J119" s="709" t="e">
        <f t="shared" si="39"/>
        <v>#REF!</v>
      </c>
      <c r="K119" s="709" t="e">
        <f t="shared" si="39"/>
        <v>#REF!</v>
      </c>
      <c r="L119" s="709" t="e">
        <f t="shared" si="39"/>
        <v>#REF!</v>
      </c>
      <c r="M119" s="709" t="e">
        <f t="shared" si="39"/>
        <v>#REF!</v>
      </c>
      <c r="N119" s="709" t="e">
        <f t="shared" si="39"/>
        <v>#REF!</v>
      </c>
      <c r="O119" s="709" t="e">
        <f t="shared" si="39"/>
        <v>#REF!</v>
      </c>
      <c r="P119" s="709" t="e">
        <f t="shared" si="39"/>
        <v>#REF!</v>
      </c>
      <c r="Q119" s="664" t="e">
        <f t="shared" si="39"/>
        <v>#REF!</v>
      </c>
      <c r="R119" s="664" t="e">
        <f t="shared" si="39"/>
        <v>#REF!</v>
      </c>
    </row>
    <row r="120" spans="1:18" s="666" customFormat="1" outlineLevel="1">
      <c r="A120" s="710" t="s">
        <v>247</v>
      </c>
      <c r="B120" s="668"/>
      <c r="C120" s="669"/>
      <c r="D120" s="670"/>
      <c r="E120" s="671"/>
      <c r="F120" s="711">
        <f>F138</f>
        <v>0</v>
      </c>
      <c r="G120" s="712">
        <f t="shared" ref="G120:Q120" si="40">G138</f>
        <v>0</v>
      </c>
      <c r="H120" s="712">
        <f t="shared" si="40"/>
        <v>0</v>
      </c>
      <c r="I120" s="712">
        <f t="shared" si="40"/>
        <v>0</v>
      </c>
      <c r="J120" s="712">
        <f t="shared" si="40"/>
        <v>0</v>
      </c>
      <c r="K120" s="712">
        <f t="shared" si="40"/>
        <v>0</v>
      </c>
      <c r="L120" s="712">
        <f t="shared" si="40"/>
        <v>0</v>
      </c>
      <c r="M120" s="712">
        <f t="shared" si="40"/>
        <v>0</v>
      </c>
      <c r="N120" s="712">
        <f t="shared" si="40"/>
        <v>0</v>
      </c>
      <c r="O120" s="712">
        <f t="shared" si="40"/>
        <v>0</v>
      </c>
      <c r="P120" s="712">
        <f t="shared" si="40"/>
        <v>0</v>
      </c>
      <c r="Q120" s="713">
        <f t="shared" si="40"/>
        <v>0</v>
      </c>
      <c r="R120" s="674">
        <f t="shared" ref="R120:R129" si="41">SUM(F120:Q120)</f>
        <v>0</v>
      </c>
    </row>
    <row r="121" spans="1:18" s="666" customFormat="1" outlineLevel="1">
      <c r="A121" s="710" t="s">
        <v>248</v>
      </c>
      <c r="B121" s="675"/>
      <c r="C121" s="676"/>
      <c r="D121" s="676"/>
      <c r="E121" s="677"/>
      <c r="F121" s="672"/>
      <c r="G121" s="688"/>
      <c r="H121" s="688"/>
      <c r="I121" s="688"/>
      <c r="J121" s="688"/>
      <c r="K121" s="688"/>
      <c r="L121" s="688"/>
      <c r="M121" s="688"/>
      <c r="N121" s="688"/>
      <c r="O121" s="688"/>
      <c r="P121" s="688"/>
      <c r="Q121" s="673"/>
      <c r="R121" s="674">
        <f t="shared" si="41"/>
        <v>0</v>
      </c>
    </row>
    <row r="122" spans="1:18" s="666" customFormat="1" ht="12.75" outlineLevel="1" thickBot="1">
      <c r="A122" s="714" t="s">
        <v>249</v>
      </c>
      <c r="B122" s="675"/>
      <c r="C122" s="676"/>
      <c r="D122" s="676"/>
      <c r="E122" s="677"/>
      <c r="F122" s="679"/>
      <c r="G122" s="680"/>
      <c r="H122" s="680"/>
      <c r="I122" s="680"/>
      <c r="J122" s="680"/>
      <c r="K122" s="680"/>
      <c r="L122" s="680"/>
      <c r="M122" s="680"/>
      <c r="N122" s="680"/>
      <c r="O122" s="680"/>
      <c r="P122" s="680"/>
      <c r="Q122" s="680"/>
      <c r="R122" s="681">
        <f t="shared" si="41"/>
        <v>0</v>
      </c>
    </row>
    <row r="123" spans="1:18" s="641" customFormat="1" ht="12.75" outlineLevel="1" thickBot="1">
      <c r="A123" s="715" t="s">
        <v>250</v>
      </c>
      <c r="B123" s="675"/>
      <c r="C123" s="676"/>
      <c r="D123" s="676"/>
      <c r="E123" s="677"/>
      <c r="F123" s="683"/>
      <c r="G123" s="655"/>
      <c r="H123" s="655"/>
      <c r="I123" s="655"/>
      <c r="J123" s="655"/>
      <c r="K123" s="655"/>
      <c r="L123" s="655"/>
      <c r="M123" s="655"/>
      <c r="N123" s="655"/>
      <c r="O123" s="655"/>
      <c r="P123" s="655"/>
      <c r="Q123" s="655"/>
      <c r="R123" s="684">
        <f t="shared" si="41"/>
        <v>0</v>
      </c>
    </row>
    <row r="124" spans="1:18" s="666" customFormat="1" outlineLevel="1">
      <c r="A124" s="718" t="s">
        <v>251</v>
      </c>
      <c r="B124" s="675"/>
      <c r="C124" s="676"/>
      <c r="D124" s="676"/>
      <c r="E124" s="677"/>
      <c r="F124" s="744"/>
      <c r="G124" s="688"/>
      <c r="H124" s="688"/>
      <c r="I124" s="688"/>
      <c r="J124" s="688"/>
      <c r="K124" s="688"/>
      <c r="L124" s="688"/>
      <c r="M124" s="688"/>
      <c r="N124" s="688"/>
      <c r="O124" s="688"/>
      <c r="P124" s="688"/>
      <c r="Q124" s="688"/>
      <c r="R124" s="689">
        <f t="shared" si="41"/>
        <v>0</v>
      </c>
    </row>
    <row r="125" spans="1:18" s="666" customFormat="1" ht="22.5" customHeight="1" outlineLevel="1">
      <c r="A125" s="722" t="s">
        <v>252</v>
      </c>
      <c r="B125" s="675"/>
      <c r="C125" s="676"/>
      <c r="D125" s="676"/>
      <c r="E125" s="677"/>
      <c r="F125" s="672"/>
      <c r="G125" s="673"/>
      <c r="H125" s="673"/>
      <c r="I125" s="673"/>
      <c r="J125" s="673"/>
      <c r="K125" s="673"/>
      <c r="L125" s="673"/>
      <c r="M125" s="673"/>
      <c r="N125" s="673"/>
      <c r="O125" s="673"/>
      <c r="P125" s="673" t="e">
        <f>B119</f>
        <v>#REF!</v>
      </c>
      <c r="Q125" s="673"/>
      <c r="R125" s="674" t="e">
        <f t="shared" si="41"/>
        <v>#REF!</v>
      </c>
    </row>
    <row r="126" spans="1:18" s="666" customFormat="1" outlineLevel="1">
      <c r="A126" s="722" t="s">
        <v>253</v>
      </c>
      <c r="B126" s="675"/>
      <c r="C126" s="676"/>
      <c r="D126" s="676"/>
      <c r="E126" s="677"/>
      <c r="F126" s="672"/>
      <c r="G126" s="673"/>
      <c r="H126" s="673"/>
      <c r="I126" s="673"/>
      <c r="J126" s="673"/>
      <c r="K126" s="673"/>
      <c r="L126" s="673"/>
      <c r="M126" s="673"/>
      <c r="N126" s="673"/>
      <c r="O126" s="673"/>
      <c r="P126" s="673"/>
      <c r="Q126" s="673"/>
      <c r="R126" s="674">
        <f t="shared" si="41"/>
        <v>0</v>
      </c>
    </row>
    <row r="127" spans="1:18" s="666" customFormat="1" outlineLevel="1">
      <c r="A127" s="722" t="s">
        <v>254</v>
      </c>
      <c r="B127" s="675"/>
      <c r="C127" s="676"/>
      <c r="D127" s="676"/>
      <c r="E127" s="677"/>
      <c r="F127" s="672"/>
      <c r="G127" s="673"/>
      <c r="H127" s="673"/>
      <c r="I127" s="673"/>
      <c r="J127" s="673"/>
      <c r="K127" s="673"/>
      <c r="L127" s="673"/>
      <c r="M127" s="673"/>
      <c r="N127" s="673"/>
      <c r="O127" s="673"/>
      <c r="P127" s="673"/>
      <c r="Q127" s="673"/>
      <c r="R127" s="674">
        <f t="shared" si="41"/>
        <v>0</v>
      </c>
    </row>
    <row r="128" spans="1:18" s="666" customFormat="1" outlineLevel="1">
      <c r="A128" s="722" t="s">
        <v>255</v>
      </c>
      <c r="B128" s="675"/>
      <c r="C128" s="676"/>
      <c r="D128" s="676"/>
      <c r="E128" s="677"/>
      <c r="F128" s="672"/>
      <c r="G128" s="673"/>
      <c r="H128" s="673"/>
      <c r="I128" s="673"/>
      <c r="J128" s="673"/>
      <c r="K128" s="673"/>
      <c r="L128" s="673"/>
      <c r="M128" s="673"/>
      <c r="N128" s="673"/>
      <c r="O128" s="673"/>
      <c r="P128" s="673"/>
      <c r="Q128" s="673"/>
      <c r="R128" s="674">
        <f t="shared" si="41"/>
        <v>0</v>
      </c>
    </row>
    <row r="129" spans="1:18" s="666" customFormat="1" outlineLevel="1">
      <c r="A129" s="725" t="s">
        <v>256</v>
      </c>
      <c r="B129" s="694"/>
      <c r="C129" s="695"/>
      <c r="D129" s="696"/>
      <c r="E129" s="697"/>
      <c r="F129" s="698" t="e">
        <f t="shared" ref="F129:P129" si="42">(F119+G119)/2*F$4</f>
        <v>#REF!</v>
      </c>
      <c r="G129" s="698" t="e">
        <f t="shared" si="42"/>
        <v>#REF!</v>
      </c>
      <c r="H129" s="698" t="e">
        <f t="shared" si="42"/>
        <v>#REF!</v>
      </c>
      <c r="I129" s="698" t="e">
        <f t="shared" si="42"/>
        <v>#REF!</v>
      </c>
      <c r="J129" s="698" t="e">
        <f t="shared" si="42"/>
        <v>#REF!</v>
      </c>
      <c r="K129" s="698" t="e">
        <f t="shared" si="42"/>
        <v>#REF!</v>
      </c>
      <c r="L129" s="698" t="e">
        <f t="shared" si="42"/>
        <v>#REF!</v>
      </c>
      <c r="M129" s="698" t="e">
        <f t="shared" si="42"/>
        <v>#REF!</v>
      </c>
      <c r="N129" s="698" t="e">
        <f t="shared" si="42"/>
        <v>#REF!</v>
      </c>
      <c r="O129" s="698" t="e">
        <f t="shared" si="42"/>
        <v>#REF!</v>
      </c>
      <c r="P129" s="698" t="e">
        <f t="shared" si="42"/>
        <v>#REF!</v>
      </c>
      <c r="Q129" s="698">
        <v>0</v>
      </c>
      <c r="R129" s="699" t="e">
        <f t="shared" si="41"/>
        <v>#REF!</v>
      </c>
    </row>
    <row r="130" spans="1:18" s="666" customFormat="1" ht="12.75" outlineLevel="1" thickBot="1">
      <c r="A130" s="700" t="s">
        <v>257</v>
      </c>
      <c r="B130" s="701"/>
      <c r="C130" s="701"/>
      <c r="D130" s="702"/>
      <c r="E130" s="703"/>
      <c r="F130" s="704" t="e">
        <f t="shared" ref="F130:Q130" si="43">F129/F$4</f>
        <v>#REF!</v>
      </c>
      <c r="G130" s="705" t="e">
        <f t="shared" si="43"/>
        <v>#REF!</v>
      </c>
      <c r="H130" s="705" t="e">
        <f t="shared" si="43"/>
        <v>#REF!</v>
      </c>
      <c r="I130" s="705" t="e">
        <f t="shared" si="43"/>
        <v>#REF!</v>
      </c>
      <c r="J130" s="705" t="e">
        <f t="shared" si="43"/>
        <v>#REF!</v>
      </c>
      <c r="K130" s="705" t="e">
        <f t="shared" si="43"/>
        <v>#REF!</v>
      </c>
      <c r="L130" s="705" t="e">
        <f t="shared" si="43"/>
        <v>#REF!</v>
      </c>
      <c r="M130" s="705" t="e">
        <f t="shared" si="43"/>
        <v>#REF!</v>
      </c>
      <c r="N130" s="705" t="e">
        <f t="shared" si="43"/>
        <v>#REF!</v>
      </c>
      <c r="O130" s="705" t="e">
        <f t="shared" si="43"/>
        <v>#REF!</v>
      </c>
      <c r="P130" s="705" t="e">
        <f t="shared" si="43"/>
        <v>#REF!</v>
      </c>
      <c r="Q130" s="705">
        <f t="shared" si="43"/>
        <v>0</v>
      </c>
      <c r="R130" s="706" t="e">
        <f>R129/R$4</f>
        <v>#REF!</v>
      </c>
    </row>
    <row r="131" spans="1:18" s="641" customFormat="1" ht="12.75" thickBot="1">
      <c r="A131" s="650" t="s">
        <v>268</v>
      </c>
      <c r="B131" s="651"/>
      <c r="C131" s="651"/>
      <c r="D131" s="652"/>
      <c r="E131" s="652"/>
      <c r="F131" s="651"/>
      <c r="G131" s="651"/>
      <c r="H131" s="651"/>
      <c r="I131" s="651"/>
      <c r="J131" s="651"/>
      <c r="K131" s="651"/>
      <c r="L131" s="651"/>
      <c r="M131" s="651"/>
      <c r="N131" s="651"/>
      <c r="O131" s="651"/>
      <c r="P131" s="651"/>
      <c r="Q131" s="651"/>
      <c r="R131" s="653"/>
    </row>
    <row r="132" spans="1:18" s="641" customFormat="1" ht="12.75" outlineLevel="1" thickBot="1">
      <c r="A132" s="654" t="s">
        <v>245</v>
      </c>
      <c r="B132" s="655"/>
      <c r="C132" s="655"/>
      <c r="D132" s="656"/>
      <c r="E132" s="657"/>
      <c r="F132" s="655"/>
      <c r="G132" s="655"/>
      <c r="H132" s="655"/>
      <c r="I132" s="655"/>
      <c r="J132" s="655"/>
      <c r="K132" s="655"/>
      <c r="L132" s="655"/>
      <c r="M132" s="655"/>
      <c r="N132" s="655"/>
      <c r="O132" s="655"/>
      <c r="P132" s="655"/>
      <c r="Q132" s="655"/>
      <c r="R132" s="658"/>
    </row>
    <row r="133" spans="1:18" s="666" customFormat="1" outlineLevel="1">
      <c r="A133" s="659" t="s">
        <v>259</v>
      </c>
      <c r="B133" s="707" t="e">
        <f>'КРМД-23'!R132</f>
        <v>#REF!</v>
      </c>
      <c r="C133" s="660" t="e">
        <f>B133</f>
        <v>#REF!</v>
      </c>
      <c r="D133" s="708" t="e">
        <f>+B133*0.275</f>
        <v>#REF!</v>
      </c>
      <c r="E133" s="662" t="e">
        <f>B133*55</f>
        <v>#REF!</v>
      </c>
      <c r="F133" s="663" t="e">
        <f>B133</f>
        <v>#REF!</v>
      </c>
      <c r="G133" s="709" t="e">
        <f t="shared" ref="G133:Q133" si="44">(F133+F134+F135+F136-F138-F139-F140-F141-F142)</f>
        <v>#REF!</v>
      </c>
      <c r="H133" s="709" t="e">
        <f t="shared" si="44"/>
        <v>#REF!</v>
      </c>
      <c r="I133" s="709" t="e">
        <f t="shared" si="44"/>
        <v>#REF!</v>
      </c>
      <c r="J133" s="709" t="e">
        <f t="shared" si="44"/>
        <v>#REF!</v>
      </c>
      <c r="K133" s="709" t="e">
        <f t="shared" si="44"/>
        <v>#REF!</v>
      </c>
      <c r="L133" s="709" t="e">
        <f t="shared" si="44"/>
        <v>#REF!</v>
      </c>
      <c r="M133" s="709" t="e">
        <f t="shared" si="44"/>
        <v>#REF!</v>
      </c>
      <c r="N133" s="709" t="e">
        <f t="shared" si="44"/>
        <v>#REF!</v>
      </c>
      <c r="O133" s="709" t="e">
        <f t="shared" si="44"/>
        <v>#REF!</v>
      </c>
      <c r="P133" s="709" t="e">
        <f t="shared" si="44"/>
        <v>#REF!</v>
      </c>
      <c r="Q133" s="664" t="e">
        <f t="shared" si="44"/>
        <v>#REF!</v>
      </c>
      <c r="R133" s="665" t="e">
        <f>(Q133+Q134+Q135+Q136-Q138-Q139-Q140-Q141-Q142)</f>
        <v>#REF!</v>
      </c>
    </row>
    <row r="134" spans="1:18" s="666" customFormat="1" outlineLevel="1">
      <c r="A134" s="710" t="s">
        <v>247</v>
      </c>
      <c r="B134" s="668"/>
      <c r="C134" s="669"/>
      <c r="D134" s="670"/>
      <c r="E134" s="671"/>
      <c r="F134" s="711">
        <f>F152</f>
        <v>0</v>
      </c>
      <c r="G134" s="712">
        <f t="shared" ref="G134:P134" si="45">G152</f>
        <v>0</v>
      </c>
      <c r="H134" s="712">
        <f t="shared" si="45"/>
        <v>0</v>
      </c>
      <c r="I134" s="712">
        <f t="shared" si="45"/>
        <v>0</v>
      </c>
      <c r="J134" s="712">
        <f t="shared" si="45"/>
        <v>0</v>
      </c>
      <c r="K134" s="712">
        <f t="shared" si="45"/>
        <v>0</v>
      </c>
      <c r="L134" s="712">
        <f t="shared" si="45"/>
        <v>0</v>
      </c>
      <c r="M134" s="712">
        <f t="shared" si="45"/>
        <v>0</v>
      </c>
      <c r="N134" s="712">
        <f t="shared" si="45"/>
        <v>0</v>
      </c>
      <c r="O134" s="712">
        <f t="shared" si="45"/>
        <v>0</v>
      </c>
      <c r="P134" s="712">
        <f t="shared" si="45"/>
        <v>0</v>
      </c>
      <c r="Q134" s="713" t="e">
        <f>Q152</f>
        <v>#REF!</v>
      </c>
      <c r="R134" s="674" t="e">
        <f t="shared" ref="R134:R143" si="46">SUM(F134:Q134)</f>
        <v>#REF!</v>
      </c>
    </row>
    <row r="135" spans="1:18" s="666" customFormat="1" outlineLevel="1">
      <c r="A135" s="710" t="s">
        <v>248</v>
      </c>
      <c r="B135" s="675"/>
      <c r="C135" s="676"/>
      <c r="D135" s="676"/>
      <c r="E135" s="677"/>
      <c r="F135" s="672"/>
      <c r="G135" s="688"/>
      <c r="H135" s="688"/>
      <c r="I135" s="688"/>
      <c r="J135" s="688"/>
      <c r="K135" s="688"/>
      <c r="L135" s="688"/>
      <c r="M135" s="688"/>
      <c r="N135" s="688"/>
      <c r="O135" s="688"/>
      <c r="P135" s="688"/>
      <c r="Q135" s="673"/>
      <c r="R135" s="674">
        <f t="shared" si="46"/>
        <v>0</v>
      </c>
    </row>
    <row r="136" spans="1:18" s="666" customFormat="1" ht="12.75" outlineLevel="1" thickBot="1">
      <c r="A136" s="714" t="s">
        <v>249</v>
      </c>
      <c r="B136" s="675"/>
      <c r="C136" s="676"/>
      <c r="D136" s="676"/>
      <c r="E136" s="677"/>
      <c r="F136" s="679"/>
      <c r="G136" s="680"/>
      <c r="H136" s="680"/>
      <c r="I136" s="680"/>
      <c r="J136" s="680"/>
      <c r="K136" s="680"/>
      <c r="L136" s="680"/>
      <c r="M136" s="680"/>
      <c r="N136" s="680"/>
      <c r="O136" s="680"/>
      <c r="P136" s="680"/>
      <c r="Q136" s="680"/>
      <c r="R136" s="681">
        <f t="shared" si="46"/>
        <v>0</v>
      </c>
    </row>
    <row r="137" spans="1:18" s="641" customFormat="1" ht="12.75" outlineLevel="1" thickBot="1">
      <c r="A137" s="715" t="s">
        <v>250</v>
      </c>
      <c r="B137" s="675"/>
      <c r="C137" s="676"/>
      <c r="D137" s="676"/>
      <c r="E137" s="677"/>
      <c r="F137" s="683"/>
      <c r="G137" s="655"/>
      <c r="H137" s="655"/>
      <c r="I137" s="655"/>
      <c r="J137" s="655"/>
      <c r="K137" s="655"/>
      <c r="L137" s="655"/>
      <c r="M137" s="655"/>
      <c r="N137" s="655"/>
      <c r="O137" s="655"/>
      <c r="P137" s="655"/>
      <c r="Q137" s="655"/>
      <c r="R137" s="684">
        <f t="shared" si="46"/>
        <v>0</v>
      </c>
    </row>
    <row r="138" spans="1:18" s="666" customFormat="1" outlineLevel="1">
      <c r="A138" s="718" t="s">
        <v>251</v>
      </c>
      <c r="B138" s="675"/>
      <c r="C138" s="676"/>
      <c r="D138" s="676"/>
      <c r="E138" s="677"/>
      <c r="F138" s="744"/>
      <c r="G138" s="688"/>
      <c r="H138" s="688"/>
      <c r="I138" s="688"/>
      <c r="J138" s="688"/>
      <c r="K138" s="688"/>
      <c r="L138" s="688"/>
      <c r="M138" s="688"/>
      <c r="N138" s="688"/>
      <c r="O138" s="688"/>
      <c r="P138" s="688"/>
      <c r="Q138" s="688"/>
      <c r="R138" s="689">
        <f t="shared" si="46"/>
        <v>0</v>
      </c>
    </row>
    <row r="139" spans="1:18" s="666" customFormat="1" ht="22.5" customHeight="1" outlineLevel="1">
      <c r="A139" s="722" t="s">
        <v>252</v>
      </c>
      <c r="B139" s="675"/>
      <c r="C139" s="676"/>
      <c r="D139" s="676"/>
      <c r="E139" s="677"/>
      <c r="F139" s="672"/>
      <c r="G139" s="673"/>
      <c r="H139" s="673"/>
      <c r="I139" s="673"/>
      <c r="J139" s="673"/>
      <c r="K139" s="673"/>
      <c r="L139" s="673"/>
      <c r="M139" s="673"/>
      <c r="N139" s="673"/>
      <c r="O139" s="673"/>
      <c r="P139" s="673" t="e">
        <f>B133</f>
        <v>#REF!</v>
      </c>
      <c r="Q139" s="673"/>
      <c r="R139" s="674" t="e">
        <f t="shared" si="46"/>
        <v>#REF!</v>
      </c>
    </row>
    <row r="140" spans="1:18" s="666" customFormat="1" outlineLevel="1">
      <c r="A140" s="722" t="s">
        <v>253</v>
      </c>
      <c r="B140" s="675"/>
      <c r="C140" s="676"/>
      <c r="D140" s="676"/>
      <c r="E140" s="677"/>
      <c r="F140" s="672"/>
      <c r="G140" s="673"/>
      <c r="H140" s="673"/>
      <c r="I140" s="673"/>
      <c r="J140" s="673"/>
      <c r="K140" s="673"/>
      <c r="L140" s="673"/>
      <c r="M140" s="673"/>
      <c r="N140" s="673"/>
      <c r="O140" s="673"/>
      <c r="P140" s="673"/>
      <c r="Q140" s="673"/>
      <c r="R140" s="674">
        <f t="shared" si="46"/>
        <v>0</v>
      </c>
    </row>
    <row r="141" spans="1:18" s="666" customFormat="1" outlineLevel="1">
      <c r="A141" s="722" t="s">
        <v>254</v>
      </c>
      <c r="B141" s="675"/>
      <c r="C141" s="676"/>
      <c r="D141" s="676"/>
      <c r="E141" s="677"/>
      <c r="F141" s="672"/>
      <c r="G141" s="673"/>
      <c r="H141" s="673"/>
      <c r="I141" s="673"/>
      <c r="J141" s="673"/>
      <c r="K141" s="673"/>
      <c r="L141" s="673"/>
      <c r="M141" s="673"/>
      <c r="N141" s="673"/>
      <c r="O141" s="673"/>
      <c r="P141" s="673"/>
      <c r="Q141" s="673"/>
      <c r="R141" s="674">
        <f t="shared" si="46"/>
        <v>0</v>
      </c>
    </row>
    <row r="142" spans="1:18" s="666" customFormat="1" outlineLevel="1">
      <c r="A142" s="722" t="s">
        <v>255</v>
      </c>
      <c r="B142" s="675"/>
      <c r="C142" s="676"/>
      <c r="D142" s="676"/>
      <c r="E142" s="677"/>
      <c r="F142" s="672"/>
      <c r="G142" s="673"/>
      <c r="H142" s="673"/>
      <c r="I142" s="673"/>
      <c r="J142" s="673"/>
      <c r="K142" s="673"/>
      <c r="L142" s="673"/>
      <c r="M142" s="673"/>
      <c r="N142" s="673"/>
      <c r="O142" s="673"/>
      <c r="P142" s="673"/>
      <c r="Q142" s="673"/>
      <c r="R142" s="674">
        <f t="shared" si="46"/>
        <v>0</v>
      </c>
    </row>
    <row r="143" spans="1:18" s="666" customFormat="1" outlineLevel="1">
      <c r="A143" s="725" t="s">
        <v>256</v>
      </c>
      <c r="B143" s="694"/>
      <c r="C143" s="695"/>
      <c r="D143" s="696"/>
      <c r="E143" s="697"/>
      <c r="F143" s="698" t="e">
        <f>(F133+G133)/2*F$4</f>
        <v>#REF!</v>
      </c>
      <c r="G143" s="698" t="e">
        <f t="shared" ref="G143:Q143" si="47">(G133+H133)/2*G$4</f>
        <v>#REF!</v>
      </c>
      <c r="H143" s="698" t="e">
        <f t="shared" si="47"/>
        <v>#REF!</v>
      </c>
      <c r="I143" s="698" t="e">
        <f t="shared" si="47"/>
        <v>#REF!</v>
      </c>
      <c r="J143" s="698" t="e">
        <f t="shared" si="47"/>
        <v>#REF!</v>
      </c>
      <c r="K143" s="698" t="e">
        <f t="shared" si="47"/>
        <v>#REF!</v>
      </c>
      <c r="L143" s="698" t="e">
        <f t="shared" si="47"/>
        <v>#REF!</v>
      </c>
      <c r="M143" s="698" t="e">
        <f t="shared" si="47"/>
        <v>#REF!</v>
      </c>
      <c r="N143" s="698" t="e">
        <f t="shared" si="47"/>
        <v>#REF!</v>
      </c>
      <c r="O143" s="698" t="e">
        <f t="shared" si="47"/>
        <v>#REF!</v>
      </c>
      <c r="P143" s="698" t="e">
        <f t="shared" si="47"/>
        <v>#REF!</v>
      </c>
      <c r="Q143" s="698" t="e">
        <f t="shared" si="47"/>
        <v>#REF!</v>
      </c>
      <c r="R143" s="699" t="e">
        <f t="shared" si="46"/>
        <v>#REF!</v>
      </c>
    </row>
    <row r="144" spans="1:18" s="666" customFormat="1" ht="12.75" outlineLevel="1" thickBot="1">
      <c r="A144" s="700" t="s">
        <v>257</v>
      </c>
      <c r="B144" s="701"/>
      <c r="C144" s="701"/>
      <c r="D144" s="702"/>
      <c r="E144" s="703"/>
      <c r="F144" s="704" t="e">
        <f>F143/F$4</f>
        <v>#REF!</v>
      </c>
      <c r="G144" s="705" t="e">
        <f t="shared" ref="G144:Q144" si="48">G143/G$4</f>
        <v>#REF!</v>
      </c>
      <c r="H144" s="705" t="e">
        <f t="shared" si="48"/>
        <v>#REF!</v>
      </c>
      <c r="I144" s="705" t="e">
        <f t="shared" si="48"/>
        <v>#REF!</v>
      </c>
      <c r="J144" s="705" t="e">
        <f t="shared" si="48"/>
        <v>#REF!</v>
      </c>
      <c r="K144" s="705" t="e">
        <f t="shared" si="48"/>
        <v>#REF!</v>
      </c>
      <c r="L144" s="705" t="e">
        <f t="shared" si="48"/>
        <v>#REF!</v>
      </c>
      <c r="M144" s="705" t="e">
        <f t="shared" si="48"/>
        <v>#REF!</v>
      </c>
      <c r="N144" s="705" t="e">
        <f t="shared" si="48"/>
        <v>#REF!</v>
      </c>
      <c r="O144" s="705" t="e">
        <f t="shared" si="48"/>
        <v>#REF!</v>
      </c>
      <c r="P144" s="705" t="e">
        <f t="shared" si="48"/>
        <v>#REF!</v>
      </c>
      <c r="Q144" s="705" t="e">
        <f t="shared" si="48"/>
        <v>#REF!</v>
      </c>
      <c r="R144" s="706" t="e">
        <f>R143/R$4</f>
        <v>#REF!</v>
      </c>
    </row>
    <row r="145" spans="1:18" s="641" customFormat="1" ht="12.75" thickBot="1">
      <c r="A145" s="650" t="s">
        <v>269</v>
      </c>
      <c r="B145" s="651"/>
      <c r="C145" s="651"/>
      <c r="D145" s="652"/>
      <c r="E145" s="652"/>
      <c r="F145" s="651"/>
      <c r="G145" s="651"/>
      <c r="H145" s="651"/>
      <c r="I145" s="651"/>
      <c r="J145" s="651"/>
      <c r="K145" s="651"/>
      <c r="L145" s="651"/>
      <c r="M145" s="651"/>
      <c r="N145" s="651"/>
      <c r="O145" s="651"/>
      <c r="P145" s="651"/>
      <c r="Q145" s="651"/>
      <c r="R145" s="653"/>
    </row>
    <row r="146" spans="1:18" s="641" customFormat="1" ht="12.75" outlineLevel="1" thickBot="1">
      <c r="A146" s="654" t="s">
        <v>245</v>
      </c>
      <c r="B146" s="655"/>
      <c r="C146" s="655"/>
      <c r="D146" s="656"/>
      <c r="E146" s="657"/>
      <c r="F146" s="655"/>
      <c r="G146" s="655"/>
      <c r="H146" s="655"/>
      <c r="I146" s="655"/>
      <c r="J146" s="655"/>
      <c r="K146" s="655"/>
      <c r="L146" s="655"/>
      <c r="M146" s="655"/>
      <c r="N146" s="655"/>
      <c r="O146" s="655"/>
      <c r="P146" s="655"/>
      <c r="Q146" s="655"/>
      <c r="R146" s="658"/>
    </row>
    <row r="147" spans="1:18" s="666" customFormat="1" outlineLevel="1">
      <c r="A147" s="659" t="s">
        <v>259</v>
      </c>
      <c r="B147" s="707" t="e">
        <f>'КРМД-23'!R146</f>
        <v>#REF!</v>
      </c>
      <c r="C147" s="660" t="e">
        <f>B147</f>
        <v>#REF!</v>
      </c>
      <c r="D147" s="708" t="e">
        <f>+B147*0.19</f>
        <v>#REF!</v>
      </c>
      <c r="E147" s="662" t="e">
        <f>B147*45</f>
        <v>#REF!</v>
      </c>
      <c r="F147" s="663" t="e">
        <f>B147</f>
        <v>#REF!</v>
      </c>
      <c r="G147" s="709" t="e">
        <f t="shared" ref="G147:O147" si="49">(F147+F148+F149+F150-F152-F153-F154-F155-F156)</f>
        <v>#REF!</v>
      </c>
      <c r="H147" s="709" t="e">
        <f t="shared" si="49"/>
        <v>#REF!</v>
      </c>
      <c r="I147" s="709" t="e">
        <f t="shared" si="49"/>
        <v>#REF!</v>
      </c>
      <c r="J147" s="709" t="e">
        <f t="shared" si="49"/>
        <v>#REF!</v>
      </c>
      <c r="K147" s="709" t="e">
        <f t="shared" si="49"/>
        <v>#REF!</v>
      </c>
      <c r="L147" s="709" t="e">
        <f t="shared" si="49"/>
        <v>#REF!</v>
      </c>
      <c r="M147" s="709" t="e">
        <f t="shared" si="49"/>
        <v>#REF!</v>
      </c>
      <c r="N147" s="709" t="e">
        <f t="shared" si="49"/>
        <v>#REF!</v>
      </c>
      <c r="O147" s="709" t="e">
        <f t="shared" si="49"/>
        <v>#REF!</v>
      </c>
      <c r="P147" s="709" t="e">
        <f>(O147+O148+O149+O150-O152-O153-O154-O155-O156)</f>
        <v>#REF!</v>
      </c>
      <c r="Q147" s="664" t="e">
        <f>(P147+P148+P149+P150-P152-P153-P154-P155-P156)</f>
        <v>#REF!</v>
      </c>
      <c r="R147" s="665" t="e">
        <f>(Q147+Q148+Q149+Q150-Q152-Q153-Q154-Q155-Q156)</f>
        <v>#REF!</v>
      </c>
    </row>
    <row r="148" spans="1:18" s="666" customFormat="1" outlineLevel="1">
      <c r="A148" s="710" t="s">
        <v>247</v>
      </c>
      <c r="B148" s="668"/>
      <c r="C148" s="669"/>
      <c r="D148" s="670"/>
      <c r="E148" s="671"/>
      <c r="F148" s="711">
        <f>F180</f>
        <v>0</v>
      </c>
      <c r="G148" s="712">
        <f>G180</f>
        <v>0</v>
      </c>
      <c r="H148" s="712">
        <f t="shared" ref="H148:Q148" si="50">H180</f>
        <v>0</v>
      </c>
      <c r="I148" s="712">
        <f t="shared" si="50"/>
        <v>0</v>
      </c>
      <c r="J148" s="712">
        <f t="shared" si="50"/>
        <v>0</v>
      </c>
      <c r="K148" s="712">
        <f t="shared" si="50"/>
        <v>0</v>
      </c>
      <c r="L148" s="712">
        <f t="shared" si="50"/>
        <v>0</v>
      </c>
      <c r="M148" s="712">
        <f t="shared" si="50"/>
        <v>0</v>
      </c>
      <c r="N148" s="712">
        <f>N180</f>
        <v>0</v>
      </c>
      <c r="O148" s="712">
        <f t="shared" si="50"/>
        <v>0</v>
      </c>
      <c r="P148" s="712">
        <f>P180</f>
        <v>0</v>
      </c>
      <c r="Q148" s="713" t="e">
        <f t="shared" si="50"/>
        <v>#REF!</v>
      </c>
      <c r="R148" s="674" t="e">
        <f t="shared" ref="R148:R157" si="51">SUM(F148:Q148)</f>
        <v>#REF!</v>
      </c>
    </row>
    <row r="149" spans="1:18" s="666" customFormat="1" outlineLevel="1">
      <c r="A149" s="710" t="s">
        <v>248</v>
      </c>
      <c r="B149" s="675"/>
      <c r="C149" s="676"/>
      <c r="D149" s="676"/>
      <c r="E149" s="677"/>
      <c r="F149" s="672"/>
      <c r="G149" s="688"/>
      <c r="H149" s="688"/>
      <c r="I149" s="688"/>
      <c r="J149" s="688"/>
      <c r="K149" s="688"/>
      <c r="L149" s="688"/>
      <c r="M149" s="688"/>
      <c r="N149" s="688"/>
      <c r="O149" s="688"/>
      <c r="P149" s="688"/>
      <c r="Q149" s="673"/>
      <c r="R149" s="674">
        <f t="shared" si="51"/>
        <v>0</v>
      </c>
    </row>
    <row r="150" spans="1:18" s="666" customFormat="1" ht="12.75" outlineLevel="1" thickBot="1">
      <c r="A150" s="714" t="s">
        <v>249</v>
      </c>
      <c r="B150" s="675"/>
      <c r="C150" s="676"/>
      <c r="D150" s="676"/>
      <c r="E150" s="677"/>
      <c r="F150" s="679"/>
      <c r="G150" s="680"/>
      <c r="H150" s="680"/>
      <c r="I150" s="680"/>
      <c r="J150" s="680"/>
      <c r="K150" s="680"/>
      <c r="L150" s="680"/>
      <c r="M150" s="680"/>
      <c r="N150" s="680"/>
      <c r="O150" s="680"/>
      <c r="P150" s="680"/>
      <c r="Q150" s="680"/>
      <c r="R150" s="681">
        <f t="shared" si="51"/>
        <v>0</v>
      </c>
    </row>
    <row r="151" spans="1:18" s="641" customFormat="1" ht="12.75" outlineLevel="1" thickBot="1">
      <c r="A151" s="715" t="s">
        <v>250</v>
      </c>
      <c r="B151" s="675"/>
      <c r="C151" s="676"/>
      <c r="D151" s="676"/>
      <c r="E151" s="677"/>
      <c r="F151" s="683"/>
      <c r="G151" s="655"/>
      <c r="H151" s="655"/>
      <c r="I151" s="655"/>
      <c r="J151" s="655"/>
      <c r="K151" s="655"/>
      <c r="L151" s="655"/>
      <c r="M151" s="655"/>
      <c r="N151" s="655"/>
      <c r="O151" s="655"/>
      <c r="P151" s="655"/>
      <c r="Q151" s="655"/>
      <c r="R151" s="684">
        <f t="shared" si="51"/>
        <v>0</v>
      </c>
    </row>
    <row r="152" spans="1:18" s="666" customFormat="1" outlineLevel="1">
      <c r="A152" s="718" t="s">
        <v>251</v>
      </c>
      <c r="B152" s="675"/>
      <c r="C152" s="676"/>
      <c r="D152" s="676"/>
      <c r="E152" s="677"/>
      <c r="F152" s="744"/>
      <c r="G152" s="688"/>
      <c r="H152" s="688"/>
      <c r="I152" s="688"/>
      <c r="J152" s="688"/>
      <c r="K152" s="688"/>
      <c r="L152" s="688"/>
      <c r="M152" s="688"/>
      <c r="N152" s="688"/>
      <c r="O152" s="688"/>
      <c r="P152" s="688"/>
      <c r="Q152" s="688" t="e">
        <f>Q147</f>
        <v>#REF!</v>
      </c>
      <c r="R152" s="689" t="e">
        <f t="shared" si="51"/>
        <v>#REF!</v>
      </c>
    </row>
    <row r="153" spans="1:18" s="666" customFormat="1" ht="22.5" customHeight="1" outlineLevel="1">
      <c r="A153" s="722" t="s">
        <v>252</v>
      </c>
      <c r="B153" s="675"/>
      <c r="C153" s="676"/>
      <c r="D153" s="676"/>
      <c r="E153" s="677"/>
      <c r="F153" s="672"/>
      <c r="G153" s="673"/>
      <c r="H153" s="673"/>
      <c r="I153" s="673"/>
      <c r="J153" s="673"/>
      <c r="K153" s="673"/>
      <c r="L153" s="673"/>
      <c r="M153" s="673"/>
      <c r="N153" s="673"/>
      <c r="O153" s="673"/>
      <c r="P153" s="673"/>
      <c r="Q153" s="673"/>
      <c r="R153" s="674">
        <f t="shared" si="51"/>
        <v>0</v>
      </c>
    </row>
    <row r="154" spans="1:18" s="666" customFormat="1" outlineLevel="1">
      <c r="A154" s="722" t="s">
        <v>253</v>
      </c>
      <c r="B154" s="675"/>
      <c r="C154" s="676"/>
      <c r="D154" s="676"/>
      <c r="E154" s="677"/>
      <c r="F154" s="672"/>
      <c r="G154" s="673"/>
      <c r="H154" s="673"/>
      <c r="I154" s="673"/>
      <c r="J154" s="673"/>
      <c r="K154" s="673"/>
      <c r="L154" s="673"/>
      <c r="M154" s="673"/>
      <c r="N154" s="673"/>
      <c r="O154" s="673"/>
      <c r="P154" s="673"/>
      <c r="Q154" s="673"/>
      <c r="R154" s="674">
        <f t="shared" si="51"/>
        <v>0</v>
      </c>
    </row>
    <row r="155" spans="1:18" s="666" customFormat="1" outlineLevel="1">
      <c r="A155" s="722" t="s">
        <v>254</v>
      </c>
      <c r="B155" s="675"/>
      <c r="C155" s="676"/>
      <c r="D155" s="676"/>
      <c r="E155" s="677"/>
      <c r="F155" s="672"/>
      <c r="G155" s="673"/>
      <c r="H155" s="673"/>
      <c r="I155" s="673"/>
      <c r="J155" s="673"/>
      <c r="K155" s="673"/>
      <c r="L155" s="673"/>
      <c r="M155" s="673"/>
      <c r="N155" s="673"/>
      <c r="O155" s="673"/>
      <c r="P155" s="673"/>
      <c r="Q155" s="673"/>
      <c r="R155" s="674">
        <f t="shared" si="51"/>
        <v>0</v>
      </c>
    </row>
    <row r="156" spans="1:18" s="666" customFormat="1" outlineLevel="1">
      <c r="A156" s="722" t="s">
        <v>255</v>
      </c>
      <c r="B156" s="675"/>
      <c r="C156" s="676"/>
      <c r="D156" s="676"/>
      <c r="E156" s="677"/>
      <c r="F156" s="672"/>
      <c r="G156" s="673"/>
      <c r="H156" s="673"/>
      <c r="I156" s="673"/>
      <c r="J156" s="673"/>
      <c r="K156" s="673"/>
      <c r="L156" s="673"/>
      <c r="M156" s="673"/>
      <c r="N156" s="747"/>
      <c r="O156" s="673"/>
      <c r="P156" s="673"/>
      <c r="Q156" s="673"/>
      <c r="R156" s="674">
        <f t="shared" si="51"/>
        <v>0</v>
      </c>
    </row>
    <row r="157" spans="1:18" s="666" customFormat="1" outlineLevel="1">
      <c r="A157" s="725" t="s">
        <v>256</v>
      </c>
      <c r="B157" s="694"/>
      <c r="C157" s="695"/>
      <c r="D157" s="696"/>
      <c r="E157" s="697"/>
      <c r="F157" s="698" t="e">
        <f t="shared" ref="F157:P157" si="52">(F147+G147)/2*F$4</f>
        <v>#REF!</v>
      </c>
      <c r="G157" s="698" t="e">
        <f t="shared" si="52"/>
        <v>#REF!</v>
      </c>
      <c r="H157" s="698" t="e">
        <f t="shared" si="52"/>
        <v>#REF!</v>
      </c>
      <c r="I157" s="698" t="e">
        <f t="shared" si="52"/>
        <v>#REF!</v>
      </c>
      <c r="J157" s="698" t="e">
        <f t="shared" si="52"/>
        <v>#REF!</v>
      </c>
      <c r="K157" s="698" t="e">
        <f t="shared" si="52"/>
        <v>#REF!</v>
      </c>
      <c r="L157" s="698" t="e">
        <f t="shared" si="52"/>
        <v>#REF!</v>
      </c>
      <c r="M157" s="698" t="e">
        <f t="shared" si="52"/>
        <v>#REF!</v>
      </c>
      <c r="N157" s="698" t="e">
        <f t="shared" si="52"/>
        <v>#REF!</v>
      </c>
      <c r="O157" s="698" t="e">
        <f t="shared" si="52"/>
        <v>#REF!</v>
      </c>
      <c r="P157" s="698" t="e">
        <f t="shared" si="52"/>
        <v>#REF!</v>
      </c>
      <c r="Q157" s="698" t="e">
        <f>(Q147+R147)/2*Q$4</f>
        <v>#REF!</v>
      </c>
      <c r="R157" s="699" t="e">
        <f t="shared" si="51"/>
        <v>#REF!</v>
      </c>
    </row>
    <row r="158" spans="1:18" s="666" customFormat="1" ht="12.75" outlineLevel="1" thickBot="1">
      <c r="A158" s="700" t="s">
        <v>257</v>
      </c>
      <c r="B158" s="701"/>
      <c r="C158" s="701"/>
      <c r="D158" s="702"/>
      <c r="E158" s="703"/>
      <c r="F158" s="704" t="e">
        <f t="shared" ref="F158:P158" si="53">F157/F$4</f>
        <v>#REF!</v>
      </c>
      <c r="G158" s="705" t="e">
        <f t="shared" si="53"/>
        <v>#REF!</v>
      </c>
      <c r="H158" s="705" t="e">
        <f t="shared" si="53"/>
        <v>#REF!</v>
      </c>
      <c r="I158" s="705" t="e">
        <f t="shared" si="53"/>
        <v>#REF!</v>
      </c>
      <c r="J158" s="705" t="e">
        <f t="shared" si="53"/>
        <v>#REF!</v>
      </c>
      <c r="K158" s="705" t="e">
        <f t="shared" si="53"/>
        <v>#REF!</v>
      </c>
      <c r="L158" s="705" t="e">
        <f t="shared" si="53"/>
        <v>#REF!</v>
      </c>
      <c r="M158" s="705" t="e">
        <f t="shared" si="53"/>
        <v>#REF!</v>
      </c>
      <c r="N158" s="705" t="e">
        <f t="shared" si="53"/>
        <v>#REF!</v>
      </c>
      <c r="O158" s="705" t="e">
        <f t="shared" si="53"/>
        <v>#REF!</v>
      </c>
      <c r="P158" s="705" t="e">
        <f t="shared" si="53"/>
        <v>#REF!</v>
      </c>
      <c r="Q158" s="705" t="e">
        <f>Q157/Q$4</f>
        <v>#REF!</v>
      </c>
      <c r="R158" s="706" t="e">
        <f>R157/R$4</f>
        <v>#REF!</v>
      </c>
    </row>
    <row r="159" spans="1:18" s="641" customFormat="1" ht="12.75" thickBot="1">
      <c r="A159" s="650" t="s">
        <v>270</v>
      </c>
      <c r="B159" s="651"/>
      <c r="C159" s="651"/>
      <c r="D159" s="652"/>
      <c r="E159" s="652"/>
      <c r="F159" s="651"/>
      <c r="G159" s="651"/>
      <c r="H159" s="651"/>
      <c r="I159" s="651"/>
      <c r="J159" s="651"/>
      <c r="K159" s="651"/>
      <c r="L159" s="651"/>
      <c r="M159" s="651"/>
      <c r="N159" s="651"/>
      <c r="O159" s="651"/>
      <c r="P159" s="651"/>
      <c r="Q159" s="651"/>
      <c r="R159" s="653"/>
    </row>
    <row r="160" spans="1:18" s="641" customFormat="1" ht="12.75" outlineLevel="1" thickBot="1">
      <c r="A160" s="654" t="s">
        <v>245</v>
      </c>
      <c r="B160" s="655"/>
      <c r="C160" s="655"/>
      <c r="D160" s="656"/>
      <c r="E160" s="657"/>
      <c r="F160" s="655"/>
      <c r="G160" s="655"/>
      <c r="H160" s="655"/>
      <c r="I160" s="655"/>
      <c r="J160" s="655"/>
      <c r="K160" s="655"/>
      <c r="L160" s="655"/>
      <c r="M160" s="655"/>
      <c r="N160" s="655"/>
      <c r="O160" s="655"/>
      <c r="P160" s="655"/>
      <c r="Q160" s="655"/>
      <c r="R160" s="658"/>
    </row>
    <row r="161" spans="1:18" s="666" customFormat="1" outlineLevel="1">
      <c r="A161" s="659" t="s">
        <v>259</v>
      </c>
      <c r="B161" s="707"/>
      <c r="C161" s="660">
        <f>B161</f>
        <v>0</v>
      </c>
      <c r="D161" s="708"/>
      <c r="E161" s="742"/>
      <c r="F161" s="663">
        <f>B161</f>
        <v>0</v>
      </c>
      <c r="G161" s="664">
        <f t="shared" ref="G161:Q161" si="54">(F161+F162+F163+F164-F166-F167-F168-F169-F170)</f>
        <v>0</v>
      </c>
      <c r="H161" s="664">
        <f>(G161+G162+G163+G164-G166-G167-G168-G169-G170)</f>
        <v>0</v>
      </c>
      <c r="I161" s="664" t="e">
        <f t="shared" si="54"/>
        <v>#REF!</v>
      </c>
      <c r="J161" s="664" t="e">
        <f t="shared" si="54"/>
        <v>#REF!</v>
      </c>
      <c r="K161" s="664" t="e">
        <f t="shared" si="54"/>
        <v>#REF!</v>
      </c>
      <c r="L161" s="664" t="e">
        <f t="shared" si="54"/>
        <v>#REF!</v>
      </c>
      <c r="M161" s="664" t="e">
        <f t="shared" si="54"/>
        <v>#REF!</v>
      </c>
      <c r="N161" s="664" t="e">
        <f t="shared" si="54"/>
        <v>#REF!</v>
      </c>
      <c r="O161" s="664" t="e">
        <f t="shared" si="54"/>
        <v>#REF!</v>
      </c>
      <c r="P161" s="664" t="e">
        <f t="shared" si="54"/>
        <v>#REF!</v>
      </c>
      <c r="Q161" s="664" t="e">
        <f t="shared" si="54"/>
        <v>#REF!</v>
      </c>
      <c r="R161" s="665" t="e">
        <f>(Q161+Q162+Q163+Q164-Q166-Q167-Q168-Q169-Q170)</f>
        <v>#REF!</v>
      </c>
    </row>
    <row r="162" spans="1:18" s="666" customFormat="1" outlineLevel="1">
      <c r="A162" s="710" t="s">
        <v>271</v>
      </c>
      <c r="B162" s="668"/>
      <c r="C162" s="669"/>
      <c r="D162" s="670"/>
      <c r="E162" s="671"/>
      <c r="F162" s="672"/>
      <c r="G162" s="673"/>
      <c r="H162" s="673" t="e">
        <f>ROUNDDOWN(((B35+B63)/2)*85%,0)</f>
        <v>#REF!</v>
      </c>
      <c r="I162" s="673"/>
      <c r="J162" s="673"/>
      <c r="K162" s="673"/>
      <c r="L162" s="673"/>
      <c r="M162" s="673"/>
      <c r="N162" s="673"/>
      <c r="O162" s="673"/>
      <c r="P162" s="673"/>
      <c r="Q162" s="673"/>
      <c r="R162" s="674" t="e">
        <f t="shared" ref="R162:R171" si="55">SUM(F162:Q162)</f>
        <v>#REF!</v>
      </c>
    </row>
    <row r="163" spans="1:18" s="666" customFormat="1" outlineLevel="1">
      <c r="A163" s="710" t="s">
        <v>248</v>
      </c>
      <c r="B163" s="675"/>
      <c r="C163" s="676"/>
      <c r="D163" s="676"/>
      <c r="E163" s="677"/>
      <c r="F163" s="672"/>
      <c r="G163" s="673"/>
      <c r="H163" s="673"/>
      <c r="I163" s="673"/>
      <c r="J163" s="673"/>
      <c r="K163" s="673"/>
      <c r="L163" s="673"/>
      <c r="M163" s="673"/>
      <c r="N163" s="673"/>
      <c r="O163" s="673"/>
      <c r="P163" s="673"/>
      <c r="Q163" s="673"/>
      <c r="R163" s="674">
        <f t="shared" si="55"/>
        <v>0</v>
      </c>
    </row>
    <row r="164" spans="1:18" s="666" customFormat="1" ht="12.75" outlineLevel="1" thickBot="1">
      <c r="A164" s="714" t="s">
        <v>249</v>
      </c>
      <c r="B164" s="675"/>
      <c r="C164" s="676"/>
      <c r="D164" s="676"/>
      <c r="E164" s="677"/>
      <c r="F164" s="672"/>
      <c r="G164" s="673"/>
      <c r="H164" s="673"/>
      <c r="I164" s="673"/>
      <c r="J164" s="673"/>
      <c r="K164" s="673"/>
      <c r="L164" s="673"/>
      <c r="M164" s="673"/>
      <c r="N164" s="673"/>
      <c r="O164" s="673"/>
      <c r="P164" s="673"/>
      <c r="Q164" s="673"/>
      <c r="R164" s="674">
        <f t="shared" si="55"/>
        <v>0</v>
      </c>
    </row>
    <row r="165" spans="1:18" s="641" customFormat="1" ht="12.75" outlineLevel="1" thickBot="1">
      <c r="A165" s="715" t="s">
        <v>250</v>
      </c>
      <c r="B165" s="675"/>
      <c r="C165" s="676"/>
      <c r="D165" s="676"/>
      <c r="E165" s="677"/>
      <c r="F165" s="683"/>
      <c r="G165" s="655"/>
      <c r="H165" s="655"/>
      <c r="I165" s="655"/>
      <c r="J165" s="655"/>
      <c r="K165" s="655"/>
      <c r="L165" s="655"/>
      <c r="M165" s="655"/>
      <c r="N165" s="655"/>
      <c r="O165" s="655"/>
      <c r="P165" s="655"/>
      <c r="Q165" s="655"/>
      <c r="R165" s="684">
        <f t="shared" si="55"/>
        <v>0</v>
      </c>
    </row>
    <row r="166" spans="1:18" s="666" customFormat="1" outlineLevel="1">
      <c r="A166" s="718" t="s">
        <v>251</v>
      </c>
      <c r="B166" s="675"/>
      <c r="C166" s="676"/>
      <c r="D166" s="676"/>
      <c r="E166" s="677"/>
      <c r="F166" s="672"/>
      <c r="G166" s="673"/>
      <c r="H166" s="673"/>
      <c r="I166" s="673"/>
      <c r="J166" s="673"/>
      <c r="K166" s="673"/>
      <c r="L166" s="673"/>
      <c r="M166" s="673"/>
      <c r="N166" s="673"/>
      <c r="O166" s="673"/>
      <c r="P166" s="673"/>
      <c r="Q166" s="688" t="e">
        <f>Q161</f>
        <v>#REF!</v>
      </c>
      <c r="R166" s="674" t="e">
        <f t="shared" si="55"/>
        <v>#REF!</v>
      </c>
    </row>
    <row r="167" spans="1:18" s="666" customFormat="1" ht="24" outlineLevel="1">
      <c r="A167" s="722" t="s">
        <v>252</v>
      </c>
      <c r="B167" s="675"/>
      <c r="C167" s="676"/>
      <c r="D167" s="676"/>
      <c r="E167" s="677"/>
      <c r="F167" s="672"/>
      <c r="G167" s="673"/>
      <c r="H167" s="673"/>
      <c r="I167" s="673"/>
      <c r="J167" s="673"/>
      <c r="K167" s="673"/>
      <c r="L167" s="673"/>
      <c r="M167" s="673"/>
      <c r="N167" s="673"/>
      <c r="O167" s="673"/>
      <c r="P167" s="673"/>
      <c r="Q167" s="673"/>
      <c r="R167" s="674">
        <f t="shared" si="55"/>
        <v>0</v>
      </c>
    </row>
    <row r="168" spans="1:18" s="666" customFormat="1" outlineLevel="1">
      <c r="A168" s="722" t="s">
        <v>253</v>
      </c>
      <c r="B168" s="675"/>
      <c r="C168" s="676"/>
      <c r="D168" s="676"/>
      <c r="E168" s="677"/>
      <c r="F168" s="672"/>
      <c r="G168" s="673"/>
      <c r="H168" s="673"/>
      <c r="I168" s="673"/>
      <c r="J168" s="673"/>
      <c r="K168" s="673"/>
      <c r="L168" s="673"/>
      <c r="M168" s="673"/>
      <c r="N168" s="673"/>
      <c r="O168" s="673"/>
      <c r="P168" s="673"/>
      <c r="Q168" s="673"/>
      <c r="R168" s="674">
        <f t="shared" si="55"/>
        <v>0</v>
      </c>
    </row>
    <row r="169" spans="1:18" s="666" customFormat="1" outlineLevel="1">
      <c r="A169" s="722" t="s">
        <v>254</v>
      </c>
      <c r="B169" s="675"/>
      <c r="C169" s="676"/>
      <c r="D169" s="676"/>
      <c r="E169" s="677"/>
      <c r="F169" s="711"/>
      <c r="G169" s="673"/>
      <c r="H169" s="673"/>
      <c r="I169" s="673"/>
      <c r="J169" s="673"/>
      <c r="K169" s="713"/>
      <c r="L169" s="673"/>
      <c r="M169" s="673"/>
      <c r="N169" s="673"/>
      <c r="O169" s="673"/>
      <c r="P169" s="673"/>
      <c r="Q169" s="673"/>
      <c r="R169" s="674">
        <f t="shared" si="55"/>
        <v>0</v>
      </c>
    </row>
    <row r="170" spans="1:18" s="666" customFormat="1" outlineLevel="1">
      <c r="A170" s="722" t="s">
        <v>255</v>
      </c>
      <c r="B170" s="675"/>
      <c r="C170" s="676"/>
      <c r="D170" s="676"/>
      <c r="E170" s="677"/>
      <c r="F170" s="672"/>
      <c r="G170" s="673"/>
      <c r="H170" s="673"/>
      <c r="I170" s="673"/>
      <c r="J170" s="673"/>
      <c r="K170" s="673"/>
      <c r="L170" s="673"/>
      <c r="M170" s="673"/>
      <c r="N170" s="673"/>
      <c r="O170" s="673"/>
      <c r="P170" s="673"/>
      <c r="Q170" s="673"/>
      <c r="R170" s="674">
        <f t="shared" si="55"/>
        <v>0</v>
      </c>
    </row>
    <row r="171" spans="1:18" s="666" customFormat="1" outlineLevel="1">
      <c r="A171" s="725" t="s">
        <v>256</v>
      </c>
      <c r="B171" s="694"/>
      <c r="C171" s="695"/>
      <c r="D171" s="696"/>
      <c r="E171" s="697"/>
      <c r="F171" s="698">
        <f t="shared" ref="F171:Q171" si="56">(F161+G161)/2*F$4</f>
        <v>0</v>
      </c>
      <c r="G171" s="698">
        <f t="shared" si="56"/>
        <v>0</v>
      </c>
      <c r="H171" s="698" t="e">
        <f t="shared" si="56"/>
        <v>#REF!</v>
      </c>
      <c r="I171" s="698" t="e">
        <f t="shared" si="56"/>
        <v>#REF!</v>
      </c>
      <c r="J171" s="698" t="e">
        <f t="shared" si="56"/>
        <v>#REF!</v>
      </c>
      <c r="K171" s="698" t="e">
        <f t="shared" si="56"/>
        <v>#REF!</v>
      </c>
      <c r="L171" s="698" t="e">
        <f t="shared" si="56"/>
        <v>#REF!</v>
      </c>
      <c r="M171" s="698" t="e">
        <f t="shared" si="56"/>
        <v>#REF!</v>
      </c>
      <c r="N171" s="698" t="e">
        <f t="shared" si="56"/>
        <v>#REF!</v>
      </c>
      <c r="O171" s="698" t="e">
        <f t="shared" si="56"/>
        <v>#REF!</v>
      </c>
      <c r="P171" s="698" t="e">
        <f t="shared" si="56"/>
        <v>#REF!</v>
      </c>
      <c r="Q171" s="698" t="e">
        <f t="shared" si="56"/>
        <v>#REF!</v>
      </c>
      <c r="R171" s="699" t="e">
        <f t="shared" si="55"/>
        <v>#REF!</v>
      </c>
    </row>
    <row r="172" spans="1:18" s="666" customFormat="1" ht="12.75" outlineLevel="1" thickBot="1">
      <c r="A172" s="700" t="s">
        <v>257</v>
      </c>
      <c r="B172" s="701"/>
      <c r="C172" s="701"/>
      <c r="D172" s="702"/>
      <c r="E172" s="703"/>
      <c r="F172" s="704">
        <f t="shared" ref="F172:Q172" si="57">F171/F$4</f>
        <v>0</v>
      </c>
      <c r="G172" s="705">
        <f t="shared" si="57"/>
        <v>0</v>
      </c>
      <c r="H172" s="705" t="e">
        <f t="shared" si="57"/>
        <v>#REF!</v>
      </c>
      <c r="I172" s="705" t="e">
        <f t="shared" si="57"/>
        <v>#REF!</v>
      </c>
      <c r="J172" s="705" t="e">
        <f t="shared" si="57"/>
        <v>#REF!</v>
      </c>
      <c r="K172" s="705" t="e">
        <f t="shared" si="57"/>
        <v>#REF!</v>
      </c>
      <c r="L172" s="705" t="e">
        <f t="shared" si="57"/>
        <v>#REF!</v>
      </c>
      <c r="M172" s="705" t="e">
        <f t="shared" si="57"/>
        <v>#REF!</v>
      </c>
      <c r="N172" s="705" t="e">
        <f t="shared" si="57"/>
        <v>#REF!</v>
      </c>
      <c r="O172" s="705" t="e">
        <f t="shared" si="57"/>
        <v>#REF!</v>
      </c>
      <c r="P172" s="705" t="e">
        <f t="shared" si="57"/>
        <v>#REF!</v>
      </c>
      <c r="Q172" s="705" t="e">
        <f t="shared" si="57"/>
        <v>#REF!</v>
      </c>
      <c r="R172" s="706" t="e">
        <f>R171/R$4</f>
        <v>#REF!</v>
      </c>
    </row>
    <row r="173" spans="1:18" s="641" customFormat="1" ht="12.75" thickBot="1">
      <c r="A173" s="650" t="s">
        <v>272</v>
      </c>
      <c r="B173" s="651"/>
      <c r="C173" s="651"/>
      <c r="D173" s="652"/>
      <c r="E173" s="652"/>
      <c r="F173" s="651"/>
      <c r="G173" s="651"/>
      <c r="H173" s="651"/>
      <c r="I173" s="651"/>
      <c r="J173" s="651"/>
      <c r="K173" s="651"/>
      <c r="L173" s="651"/>
      <c r="M173" s="651"/>
      <c r="N173" s="651"/>
      <c r="O173" s="651"/>
      <c r="P173" s="651"/>
      <c r="Q173" s="651"/>
      <c r="R173" s="653"/>
    </row>
    <row r="174" spans="1:18" s="641" customFormat="1" ht="12.75" outlineLevel="1" thickBot="1">
      <c r="A174" s="654" t="s">
        <v>245</v>
      </c>
      <c r="B174" s="655"/>
      <c r="C174" s="655"/>
      <c r="D174" s="656"/>
      <c r="E174" s="657"/>
      <c r="F174" s="655"/>
      <c r="G174" s="655"/>
      <c r="H174" s="655"/>
      <c r="I174" s="655"/>
      <c r="J174" s="655"/>
      <c r="K174" s="655"/>
      <c r="L174" s="655"/>
      <c r="M174" s="655"/>
      <c r="N174" s="655"/>
      <c r="O174" s="655"/>
      <c r="P174" s="655"/>
      <c r="Q174" s="655"/>
      <c r="R174" s="658"/>
    </row>
    <row r="175" spans="1:18" s="666" customFormat="1" outlineLevel="1">
      <c r="A175" s="659" t="s">
        <v>259</v>
      </c>
      <c r="B175" s="707"/>
      <c r="C175" s="660">
        <f>B175</f>
        <v>0</v>
      </c>
      <c r="D175" s="708"/>
      <c r="E175" s="742"/>
      <c r="F175" s="663">
        <f>B175</f>
        <v>0</v>
      </c>
      <c r="G175" s="664">
        <f>(F175+F176+F177+F178-F180-F181-F182-F183-F184)</f>
        <v>0</v>
      </c>
      <c r="H175" s="664">
        <f>(G175+G176+G177+G178-G180-G181-G182-G183-G184)</f>
        <v>0</v>
      </c>
      <c r="I175" s="664" t="e">
        <f t="shared" ref="I175:Q175" si="58">(H175+H176+H177+H178-H180-H181-H182-H183-H184)</f>
        <v>#REF!</v>
      </c>
      <c r="J175" s="664" t="e">
        <f t="shared" si="58"/>
        <v>#REF!</v>
      </c>
      <c r="K175" s="664" t="e">
        <f>(J175+J176+J177+J178-J180-J181-J182-J183-J184)</f>
        <v>#REF!</v>
      </c>
      <c r="L175" s="664" t="e">
        <f t="shared" si="58"/>
        <v>#REF!</v>
      </c>
      <c r="M175" s="664" t="e">
        <f t="shared" si="58"/>
        <v>#REF!</v>
      </c>
      <c r="N175" s="664" t="e">
        <f t="shared" si="58"/>
        <v>#REF!</v>
      </c>
      <c r="O175" s="664" t="e">
        <f t="shared" si="58"/>
        <v>#REF!</v>
      </c>
      <c r="P175" s="664" t="e">
        <f t="shared" si="58"/>
        <v>#REF!</v>
      </c>
      <c r="Q175" s="664" t="e">
        <f t="shared" si="58"/>
        <v>#REF!</v>
      </c>
      <c r="R175" s="665" t="e">
        <f>(Q175+Q176+Q177+Q178-Q180-Q181-Q182-Q183-Q184)</f>
        <v>#REF!</v>
      </c>
    </row>
    <row r="176" spans="1:18" s="666" customFormat="1" outlineLevel="1">
      <c r="A176" s="710" t="s">
        <v>271</v>
      </c>
      <c r="B176" s="668"/>
      <c r="C176" s="669"/>
      <c r="D176" s="670"/>
      <c r="E176" s="671"/>
      <c r="F176" s="672"/>
      <c r="G176" s="673"/>
      <c r="H176" s="673" t="e">
        <f>ROUNDDOWN(((B35+B63)/2)*85%,0)</f>
        <v>#REF!</v>
      </c>
      <c r="I176" s="673"/>
      <c r="J176" s="673"/>
      <c r="K176" s="673"/>
      <c r="L176" s="673"/>
      <c r="M176" s="673"/>
      <c r="N176" s="673"/>
      <c r="O176" s="673"/>
      <c r="P176" s="673"/>
      <c r="Q176" s="673"/>
      <c r="R176" s="674" t="e">
        <f t="shared" ref="R176:R185" si="59">SUM(F176:Q176)</f>
        <v>#REF!</v>
      </c>
    </row>
    <row r="177" spans="1:18" s="666" customFormat="1" outlineLevel="1">
      <c r="A177" s="710" t="s">
        <v>248</v>
      </c>
      <c r="B177" s="675"/>
      <c r="C177" s="676"/>
      <c r="D177" s="676"/>
      <c r="E177" s="677"/>
      <c r="F177" s="672"/>
      <c r="G177" s="673"/>
      <c r="H177" s="673"/>
      <c r="I177" s="673"/>
      <c r="J177" s="673"/>
      <c r="K177" s="673"/>
      <c r="L177" s="673"/>
      <c r="M177" s="673"/>
      <c r="N177" s="673"/>
      <c r="O177" s="673"/>
      <c r="P177" s="673"/>
      <c r="Q177" s="673"/>
      <c r="R177" s="674">
        <f t="shared" si="59"/>
        <v>0</v>
      </c>
    </row>
    <row r="178" spans="1:18" s="666" customFormat="1" ht="12.75" outlineLevel="1" thickBot="1">
      <c r="A178" s="714" t="s">
        <v>249</v>
      </c>
      <c r="B178" s="675"/>
      <c r="C178" s="676"/>
      <c r="D178" s="676"/>
      <c r="E178" s="677"/>
      <c r="F178" s="672"/>
      <c r="G178" s="673"/>
      <c r="H178" s="673"/>
      <c r="I178" s="673"/>
      <c r="J178" s="673"/>
      <c r="K178" s="673"/>
      <c r="L178" s="673"/>
      <c r="M178" s="673"/>
      <c r="N178" s="673"/>
      <c r="O178" s="673"/>
      <c r="P178" s="673"/>
      <c r="Q178" s="673"/>
      <c r="R178" s="674">
        <f t="shared" si="59"/>
        <v>0</v>
      </c>
    </row>
    <row r="179" spans="1:18" s="641" customFormat="1" ht="12.75" outlineLevel="1" thickBot="1">
      <c r="A179" s="715" t="s">
        <v>250</v>
      </c>
      <c r="B179" s="675"/>
      <c r="C179" s="676"/>
      <c r="D179" s="676"/>
      <c r="E179" s="677"/>
      <c r="F179" s="683"/>
      <c r="G179" s="655"/>
      <c r="H179" s="655"/>
      <c r="I179" s="655"/>
      <c r="J179" s="655"/>
      <c r="K179" s="655"/>
      <c r="L179" s="655"/>
      <c r="M179" s="655"/>
      <c r="N179" s="655"/>
      <c r="O179" s="655"/>
      <c r="P179" s="655"/>
      <c r="Q179" s="655"/>
      <c r="R179" s="684">
        <f t="shared" si="59"/>
        <v>0</v>
      </c>
    </row>
    <row r="180" spans="1:18" s="666" customFormat="1" outlineLevel="1">
      <c r="A180" s="718" t="s">
        <v>251</v>
      </c>
      <c r="B180" s="675"/>
      <c r="C180" s="676"/>
      <c r="D180" s="676"/>
      <c r="E180" s="677"/>
      <c r="F180" s="672"/>
      <c r="G180" s="673"/>
      <c r="H180" s="673"/>
      <c r="I180" s="673"/>
      <c r="J180" s="673"/>
      <c r="K180" s="673"/>
      <c r="L180" s="673"/>
      <c r="M180" s="673"/>
      <c r="N180" s="673"/>
      <c r="O180" s="673"/>
      <c r="P180" s="673"/>
      <c r="Q180" s="688" t="e">
        <f>Q175</f>
        <v>#REF!</v>
      </c>
      <c r="R180" s="674" t="e">
        <f t="shared" si="59"/>
        <v>#REF!</v>
      </c>
    </row>
    <row r="181" spans="1:18" s="666" customFormat="1" ht="24" outlineLevel="1">
      <c r="A181" s="722" t="s">
        <v>252</v>
      </c>
      <c r="B181" s="675"/>
      <c r="C181" s="676"/>
      <c r="D181" s="676"/>
      <c r="E181" s="677"/>
      <c r="F181" s="672"/>
      <c r="G181" s="673"/>
      <c r="H181" s="673"/>
      <c r="I181" s="673"/>
      <c r="J181" s="673"/>
      <c r="K181" s="673"/>
      <c r="L181" s="673"/>
      <c r="M181" s="673"/>
      <c r="N181" s="673"/>
      <c r="O181" s="673"/>
      <c r="P181" s="673"/>
      <c r="Q181" s="673"/>
      <c r="R181" s="674">
        <f t="shared" si="59"/>
        <v>0</v>
      </c>
    </row>
    <row r="182" spans="1:18" s="666" customFormat="1" outlineLevel="1">
      <c r="A182" s="722" t="s">
        <v>253</v>
      </c>
      <c r="B182" s="675"/>
      <c r="C182" s="676"/>
      <c r="D182" s="676"/>
      <c r="E182" s="677"/>
      <c r="F182" s="672"/>
      <c r="G182" s="673"/>
      <c r="H182" s="673"/>
      <c r="I182" s="673"/>
      <c r="J182" s="673"/>
      <c r="K182" s="673"/>
      <c r="L182" s="673"/>
      <c r="M182" s="673"/>
      <c r="N182" s="673"/>
      <c r="O182" s="673"/>
      <c r="P182" s="673"/>
      <c r="Q182" s="673"/>
      <c r="R182" s="674">
        <f t="shared" si="59"/>
        <v>0</v>
      </c>
    </row>
    <row r="183" spans="1:18" s="666" customFormat="1" outlineLevel="1">
      <c r="A183" s="722" t="s">
        <v>254</v>
      </c>
      <c r="B183" s="675"/>
      <c r="C183" s="676"/>
      <c r="D183" s="676"/>
      <c r="E183" s="677"/>
      <c r="F183" s="711"/>
      <c r="G183" s="673"/>
      <c r="H183" s="673"/>
      <c r="I183" s="673"/>
      <c r="J183" s="673"/>
      <c r="K183" s="713"/>
      <c r="L183" s="673"/>
      <c r="M183" s="673"/>
      <c r="N183" s="673"/>
      <c r="O183" s="673"/>
      <c r="P183" s="673"/>
      <c r="Q183" s="673"/>
      <c r="R183" s="674">
        <f t="shared" si="59"/>
        <v>0</v>
      </c>
    </row>
    <row r="184" spans="1:18" s="666" customFormat="1" outlineLevel="1">
      <c r="A184" s="722" t="s">
        <v>255</v>
      </c>
      <c r="B184" s="675"/>
      <c r="C184" s="676"/>
      <c r="D184" s="676"/>
      <c r="E184" s="677"/>
      <c r="F184" s="672"/>
      <c r="G184" s="673"/>
      <c r="H184" s="673"/>
      <c r="I184" s="673"/>
      <c r="J184" s="673"/>
      <c r="K184" s="673"/>
      <c r="L184" s="673"/>
      <c r="M184" s="673"/>
      <c r="N184" s="673"/>
      <c r="O184" s="673"/>
      <c r="P184" s="673"/>
      <c r="Q184" s="673"/>
      <c r="R184" s="674">
        <f t="shared" si="59"/>
        <v>0</v>
      </c>
    </row>
    <row r="185" spans="1:18" s="666" customFormat="1" outlineLevel="1">
      <c r="A185" s="725" t="s">
        <v>256</v>
      </c>
      <c r="B185" s="694"/>
      <c r="C185" s="695"/>
      <c r="D185" s="696"/>
      <c r="E185" s="697"/>
      <c r="F185" s="698">
        <f>(F175+G175)/2*F$4</f>
        <v>0</v>
      </c>
      <c r="G185" s="698">
        <f>(G175+H175)/2*G$4</f>
        <v>0</v>
      </c>
      <c r="H185" s="698" t="e">
        <f t="shared" ref="H185:Q185" si="60">(H175+I175)/2*H$4</f>
        <v>#REF!</v>
      </c>
      <c r="I185" s="698" t="e">
        <f t="shared" si="60"/>
        <v>#REF!</v>
      </c>
      <c r="J185" s="698" t="e">
        <f t="shared" si="60"/>
        <v>#REF!</v>
      </c>
      <c r="K185" s="698" t="e">
        <f t="shared" si="60"/>
        <v>#REF!</v>
      </c>
      <c r="L185" s="698" t="e">
        <f t="shared" si="60"/>
        <v>#REF!</v>
      </c>
      <c r="M185" s="698" t="e">
        <f t="shared" si="60"/>
        <v>#REF!</v>
      </c>
      <c r="N185" s="698" t="e">
        <f t="shared" si="60"/>
        <v>#REF!</v>
      </c>
      <c r="O185" s="698" t="e">
        <f t="shared" si="60"/>
        <v>#REF!</v>
      </c>
      <c r="P185" s="698" t="e">
        <f t="shared" si="60"/>
        <v>#REF!</v>
      </c>
      <c r="Q185" s="698" t="e">
        <f t="shared" si="60"/>
        <v>#REF!</v>
      </c>
      <c r="R185" s="699" t="e">
        <f t="shared" si="59"/>
        <v>#REF!</v>
      </c>
    </row>
    <row r="186" spans="1:18" s="666" customFormat="1" ht="12.75" outlineLevel="1" thickBot="1">
      <c r="A186" s="700" t="s">
        <v>257</v>
      </c>
      <c r="B186" s="701"/>
      <c r="C186" s="701"/>
      <c r="D186" s="702"/>
      <c r="E186" s="703"/>
      <c r="F186" s="704">
        <f t="shared" ref="F186:Q186" si="61">F185/F$4</f>
        <v>0</v>
      </c>
      <c r="G186" s="705">
        <f t="shared" si="61"/>
        <v>0</v>
      </c>
      <c r="H186" s="705" t="e">
        <f t="shared" si="61"/>
        <v>#REF!</v>
      </c>
      <c r="I186" s="705" t="e">
        <f t="shared" si="61"/>
        <v>#REF!</v>
      </c>
      <c r="J186" s="705" t="e">
        <f t="shared" si="61"/>
        <v>#REF!</v>
      </c>
      <c r="K186" s="705" t="e">
        <f t="shared" si="61"/>
        <v>#REF!</v>
      </c>
      <c r="L186" s="705" t="e">
        <f t="shared" si="61"/>
        <v>#REF!</v>
      </c>
      <c r="M186" s="705" t="e">
        <f t="shared" si="61"/>
        <v>#REF!</v>
      </c>
      <c r="N186" s="705" t="e">
        <f t="shared" si="61"/>
        <v>#REF!</v>
      </c>
      <c r="O186" s="705" t="e">
        <f t="shared" si="61"/>
        <v>#REF!</v>
      </c>
      <c r="P186" s="705" t="e">
        <f t="shared" si="61"/>
        <v>#REF!</v>
      </c>
      <c r="Q186" s="705" t="e">
        <f t="shared" si="61"/>
        <v>#REF!</v>
      </c>
      <c r="R186" s="706" t="e">
        <f>R185/R$4</f>
        <v>#REF!</v>
      </c>
    </row>
    <row r="187" spans="1:18" s="754" customFormat="1">
      <c r="A187" s="748"/>
      <c r="B187" s="749"/>
      <c r="C187" s="749"/>
      <c r="D187" s="750"/>
      <c r="E187" s="749"/>
      <c r="F187" s="751"/>
      <c r="G187" s="752"/>
      <c r="H187" s="752"/>
      <c r="I187" s="752"/>
      <c r="J187" s="752"/>
      <c r="K187" s="752"/>
      <c r="L187" s="752"/>
      <c r="M187" s="752"/>
      <c r="N187" s="752"/>
      <c r="O187" s="752"/>
      <c r="P187" s="752"/>
      <c r="Q187" s="752"/>
      <c r="R187" s="753"/>
    </row>
    <row r="188" spans="1:18">
      <c r="A188" s="755" t="s">
        <v>273</v>
      </c>
      <c r="B188" s="756"/>
      <c r="C188" s="757"/>
      <c r="D188" s="758"/>
      <c r="E188" s="759"/>
      <c r="F188" s="760" t="e">
        <f>SUM(F17,F31,F45,F59,F73,F87,F101,F115,F129,F143,F157,F171,F185)</f>
        <v>#REF!</v>
      </c>
      <c r="G188" s="761" t="e">
        <f t="shared" ref="G188:Q188" si="62">SUM(G17,G31,G45,G59,G73,G87,G101,G115,G129,G143,G157,G171,G185)</f>
        <v>#REF!</v>
      </c>
      <c r="H188" s="761" t="e">
        <f t="shared" si="62"/>
        <v>#REF!</v>
      </c>
      <c r="I188" s="761" t="e">
        <f t="shared" si="62"/>
        <v>#REF!</v>
      </c>
      <c r="J188" s="761" t="e">
        <f t="shared" si="62"/>
        <v>#REF!</v>
      </c>
      <c r="K188" s="761" t="e">
        <f t="shared" si="62"/>
        <v>#REF!</v>
      </c>
      <c r="L188" s="761" t="e">
        <f t="shared" si="62"/>
        <v>#REF!</v>
      </c>
      <c r="M188" s="761" t="e">
        <f t="shared" si="62"/>
        <v>#REF!</v>
      </c>
      <c r="N188" s="761" t="e">
        <f t="shared" si="62"/>
        <v>#REF!</v>
      </c>
      <c r="O188" s="761" t="e">
        <f t="shared" si="62"/>
        <v>#REF!</v>
      </c>
      <c r="P188" s="761" t="e">
        <f t="shared" si="62"/>
        <v>#REF!</v>
      </c>
      <c r="Q188" s="761" t="e">
        <f t="shared" si="62"/>
        <v>#REF!</v>
      </c>
      <c r="R188" s="762" t="e">
        <f>SUM(R17,R31,R45,R59,R73,R87,R101,R115,R129,R143,R157,R171,R185)</f>
        <v>#REF!</v>
      </c>
    </row>
    <row r="189" spans="1:18" s="666" customFormat="1">
      <c r="A189" s="763" t="s">
        <v>257</v>
      </c>
      <c r="B189" s="764"/>
      <c r="C189" s="764"/>
      <c r="D189" s="765"/>
      <c r="E189" s="766"/>
      <c r="F189" s="767" t="e">
        <f>F188/F$4</f>
        <v>#REF!</v>
      </c>
      <c r="G189" s="768" t="e">
        <f t="shared" ref="G189:Q189" si="63">G188/G$4</f>
        <v>#REF!</v>
      </c>
      <c r="H189" s="768" t="e">
        <f t="shared" si="63"/>
        <v>#REF!</v>
      </c>
      <c r="I189" s="768" t="e">
        <f t="shared" si="63"/>
        <v>#REF!</v>
      </c>
      <c r="J189" s="768" t="e">
        <f t="shared" si="63"/>
        <v>#REF!</v>
      </c>
      <c r="K189" s="768" t="e">
        <f t="shared" si="63"/>
        <v>#REF!</v>
      </c>
      <c r="L189" s="768" t="e">
        <f t="shared" si="63"/>
        <v>#REF!</v>
      </c>
      <c r="M189" s="768" t="e">
        <f t="shared" si="63"/>
        <v>#REF!</v>
      </c>
      <c r="N189" s="768" t="e">
        <f t="shared" si="63"/>
        <v>#REF!</v>
      </c>
      <c r="O189" s="768" t="e">
        <f t="shared" si="63"/>
        <v>#REF!</v>
      </c>
      <c r="P189" s="768" t="e">
        <f t="shared" si="63"/>
        <v>#REF!</v>
      </c>
      <c r="Q189" s="768" t="e">
        <f t="shared" si="63"/>
        <v>#REF!</v>
      </c>
      <c r="R189" s="769" t="e">
        <f>R188/R$4</f>
        <v>#REF!</v>
      </c>
    </row>
    <row r="190" spans="1:18" ht="12.75" thickBot="1">
      <c r="A190" s="770" t="s">
        <v>274</v>
      </c>
      <c r="B190" s="771" t="e">
        <f>SUM(B7,B21,B35,B49,B63,B77,B91,B105,B119,B133,B147,B161,B175)</f>
        <v>#REF!</v>
      </c>
      <c r="C190" s="771" t="e">
        <f>SUM(C7,C21,C35,C49,C63,C77,C91,C105,C119,C133,C147,C161,C175)</f>
        <v>#REF!</v>
      </c>
      <c r="D190" s="772" t="e">
        <f>SUM(D7,D21,D35,D49,D63,D77,D91,D105,D119,D133,D147,D161,D175)</f>
        <v>#REF!</v>
      </c>
      <c r="E190" s="773" t="e">
        <f>SUM(E7,E21,E35,E49,E63,E77,E91,E105,E119,E133,E147,E161,E175)</f>
        <v>#REF!</v>
      </c>
      <c r="F190" s="774" t="e">
        <f>SUM(F7,F21,F35,F49,F63,F77,F91,F105,F119,F133,F147,F161,F175)</f>
        <v>#REF!</v>
      </c>
      <c r="G190" s="775" t="e">
        <f t="shared" ref="G190:Q190" si="64">SUM(G7,G21,G35,G49,G63,G77,G91,G105,G119,G133,G147,G161,G175)</f>
        <v>#REF!</v>
      </c>
      <c r="H190" s="775" t="e">
        <f t="shared" si="64"/>
        <v>#REF!</v>
      </c>
      <c r="I190" s="775" t="e">
        <f t="shared" si="64"/>
        <v>#REF!</v>
      </c>
      <c r="J190" s="775" t="e">
        <f t="shared" si="64"/>
        <v>#REF!</v>
      </c>
      <c r="K190" s="775" t="e">
        <f t="shared" si="64"/>
        <v>#REF!</v>
      </c>
      <c r="L190" s="775" t="e">
        <f t="shared" si="64"/>
        <v>#REF!</v>
      </c>
      <c r="M190" s="775" t="e">
        <f t="shared" si="64"/>
        <v>#REF!</v>
      </c>
      <c r="N190" s="775" t="e">
        <f t="shared" si="64"/>
        <v>#REF!</v>
      </c>
      <c r="O190" s="775" t="e">
        <f t="shared" si="64"/>
        <v>#REF!</v>
      </c>
      <c r="P190" s="775" t="e">
        <f t="shared" si="64"/>
        <v>#REF!</v>
      </c>
      <c r="Q190" s="775" t="e">
        <f t="shared" si="64"/>
        <v>#REF!</v>
      </c>
      <c r="R190" s="776" t="e">
        <f>SUM(R7,R21,R35,R49,R63,R77,R91,R105,R119,R133,R147,R161,R175)</f>
        <v>#REF!</v>
      </c>
    </row>
    <row r="191" spans="1:18" s="782" customFormat="1" ht="12" hidden="1" customHeight="1">
      <c r="A191" s="777">
        <v>38139</v>
      </c>
      <c r="B191" s="778"/>
      <c r="C191" s="778"/>
      <c r="D191" s="779"/>
      <c r="E191" s="780" t="s">
        <v>275</v>
      </c>
      <c r="F191" s="778">
        <f t="shared" ref="F191:N191" si="65">(F176-F180-F181-F182-F183-F184+F162-F170-F169-F168-F167-F166)*$D$217</f>
        <v>0</v>
      </c>
      <c r="G191" s="778">
        <f>(G176-G180-G181-G182-G183-G184+G162-G170-G169-G168-G167-G166)*$D$217</f>
        <v>0</v>
      </c>
      <c r="H191" s="778" t="e">
        <f t="shared" si="65"/>
        <v>#REF!</v>
      </c>
      <c r="I191" s="778">
        <f t="shared" si="65"/>
        <v>0</v>
      </c>
      <c r="J191" s="778">
        <f t="shared" si="65"/>
        <v>0</v>
      </c>
      <c r="K191" s="778">
        <f t="shared" si="65"/>
        <v>0</v>
      </c>
      <c r="L191" s="778">
        <f t="shared" si="65"/>
        <v>0</v>
      </c>
      <c r="M191" s="778">
        <f t="shared" si="65"/>
        <v>0</v>
      </c>
      <c r="N191" s="778">
        <f t="shared" si="65"/>
        <v>0</v>
      </c>
      <c r="O191" s="778">
        <f>(O176-O180-O181-O182-O183-O184+O162-O170-O169-O168-O167-O166)*SUM($D$199:$D$205)</f>
        <v>0</v>
      </c>
      <c r="P191" s="778">
        <f>(P176-P180-P181-P182-P183-P184+P162-P170-P169-P168-P167-P166)*SUM($D$199:$D$203)</f>
        <v>0</v>
      </c>
      <c r="Q191" s="778" t="e">
        <f>(Q176-Q180-Q181-Q182-Q183-Q184+Q162-Q170-Q169-Q168-Q167-Q166)*SUM($D$199:$D$200)</f>
        <v>#REF!</v>
      </c>
      <c r="R191" s="781" t="e">
        <f>SUM(F191:Q191)</f>
        <v>#REF!</v>
      </c>
    </row>
    <row r="192" spans="1:18" s="782" customFormat="1" ht="12" hidden="1" customHeight="1">
      <c r="A192" s="777">
        <v>38261</v>
      </c>
      <c r="B192" s="778"/>
      <c r="C192" s="778"/>
      <c r="D192" s="779"/>
      <c r="E192" s="780" t="s">
        <v>276</v>
      </c>
      <c r="F192" s="778">
        <f t="shared" ref="F192:N192" si="66">(F176-F180-F181-F182-F183-F184+F162-F170-F169-F168-F167-F166)*$F$217</f>
        <v>0</v>
      </c>
      <c r="G192" s="778">
        <f>(G176-G180-G181-G182-G183-G184+G162-G170-G169-G168-G167-G166)*$F$217</f>
        <v>0</v>
      </c>
      <c r="H192" s="778" t="e">
        <f t="shared" si="66"/>
        <v>#REF!</v>
      </c>
      <c r="I192" s="778">
        <f t="shared" si="66"/>
        <v>0</v>
      </c>
      <c r="J192" s="778">
        <f t="shared" si="66"/>
        <v>0</v>
      </c>
      <c r="K192" s="778">
        <f t="shared" si="66"/>
        <v>0</v>
      </c>
      <c r="L192" s="778">
        <f t="shared" si="66"/>
        <v>0</v>
      </c>
      <c r="M192" s="778">
        <f t="shared" si="66"/>
        <v>0</v>
      </c>
      <c r="N192" s="778">
        <f t="shared" si="66"/>
        <v>0</v>
      </c>
      <c r="O192" s="778">
        <f>(O176-O180-O181-O182-O183-O184+O162-O170-O169-O168-O167-O166)*SUM($F$199:$F$205)</f>
        <v>0</v>
      </c>
      <c r="P192" s="778">
        <f>(P176-P180-P181-P182-P183-P184+P162-P170-P169-P168-P167-P166)*SUM($F$199:$F$203)</f>
        <v>0</v>
      </c>
      <c r="Q192" s="778" t="e">
        <f>(Q176-Q180-Q181-Q182-Q183-Q184+Q162-Q170-Q169-Q168-Q167-Q166)*SUM($F$199:$F$200)</f>
        <v>#REF!</v>
      </c>
      <c r="R192" s="781" t="e">
        <f>SUM(F192:Q192)</f>
        <v>#REF!</v>
      </c>
    </row>
    <row r="193" spans="1:18" s="782" customFormat="1" ht="12" hidden="1" customHeight="1">
      <c r="A193" s="783"/>
      <c r="B193" s="778"/>
      <c r="C193" s="778"/>
      <c r="D193" s="779"/>
      <c r="E193" s="784"/>
      <c r="F193" s="778"/>
      <c r="G193" s="778"/>
      <c r="H193" s="778"/>
      <c r="I193" s="778"/>
      <c r="J193" s="778"/>
      <c r="K193" s="778"/>
      <c r="L193" s="778"/>
      <c r="M193" s="778"/>
      <c r="N193" s="778"/>
      <c r="O193" s="778"/>
      <c r="P193" s="778"/>
      <c r="Q193" s="778"/>
      <c r="R193" s="781"/>
    </row>
    <row r="194" spans="1:18" s="782" customFormat="1" ht="12" hidden="1" customHeight="1">
      <c r="A194" s="783"/>
      <c r="B194" s="778"/>
      <c r="C194" s="778"/>
      <c r="D194" s="779"/>
      <c r="E194" s="784"/>
      <c r="F194" s="778"/>
      <c r="G194" s="778"/>
      <c r="H194" s="778"/>
      <c r="I194" s="778"/>
      <c r="J194" s="778"/>
      <c r="K194" s="778"/>
      <c r="L194" s="778"/>
      <c r="M194" s="778"/>
      <c r="N194" s="778"/>
      <c r="O194" s="778"/>
      <c r="P194" s="778"/>
      <c r="Q194" s="778"/>
      <c r="R194" s="781"/>
    </row>
    <row r="195" spans="1:18" s="782" customFormat="1" ht="12" hidden="1" customHeight="1">
      <c r="A195" s="783"/>
      <c r="B195" s="778"/>
      <c r="C195" s="778"/>
      <c r="D195" s="779"/>
      <c r="E195" s="784"/>
      <c r="F195" s="778"/>
      <c r="G195" s="778"/>
      <c r="H195" s="778"/>
      <c r="I195" s="778"/>
      <c r="J195" s="778"/>
      <c r="K195" s="778"/>
      <c r="L195" s="778"/>
      <c r="M195" s="778"/>
      <c r="N195" s="778"/>
      <c r="O195" s="778"/>
      <c r="P195" s="778"/>
      <c r="Q195" s="778"/>
      <c r="R195" s="781"/>
    </row>
    <row r="196" spans="1:18" s="782" customFormat="1" ht="12" hidden="1" customHeight="1">
      <c r="A196" s="783"/>
      <c r="B196" s="778"/>
      <c r="C196" s="778"/>
      <c r="D196" s="779"/>
      <c r="E196" s="784"/>
      <c r="F196" s="778"/>
      <c r="G196" s="778"/>
      <c r="H196" s="778"/>
      <c r="I196" s="778"/>
      <c r="J196" s="778"/>
      <c r="K196" s="778"/>
      <c r="L196" s="778"/>
      <c r="M196" s="778"/>
      <c r="N196" s="778"/>
      <c r="O196" s="778"/>
      <c r="P196" s="778"/>
      <c r="Q196" s="778"/>
      <c r="R196" s="781"/>
    </row>
    <row r="197" spans="1:18" ht="12" hidden="1" customHeight="1"/>
    <row r="198" spans="1:18" s="792" customFormat="1" ht="22.5" hidden="1" customHeight="1">
      <c r="A198" s="790"/>
      <c r="B198" s="791"/>
      <c r="C198" s="2309" t="s">
        <v>275</v>
      </c>
      <c r="D198" s="2309"/>
      <c r="E198" s="2309" t="s">
        <v>276</v>
      </c>
      <c r="F198" s="2309"/>
      <c r="G198" s="2309" t="s">
        <v>277</v>
      </c>
      <c r="H198" s="2309"/>
      <c r="I198" s="2310" t="s">
        <v>278</v>
      </c>
      <c r="J198" s="2310"/>
      <c r="K198" s="2310" t="s">
        <v>279</v>
      </c>
      <c r="L198" s="2310"/>
      <c r="M198" s="2309" t="s">
        <v>280</v>
      </c>
      <c r="N198" s="2309"/>
      <c r="O198" s="2310" t="s">
        <v>281</v>
      </c>
      <c r="P198" s="2310"/>
      <c r="Q198" s="2310" t="s">
        <v>282</v>
      </c>
      <c r="R198" s="2310"/>
    </row>
    <row r="199" spans="1:18" ht="12" hidden="1" customHeight="1">
      <c r="A199" s="793">
        <v>1</v>
      </c>
      <c r="B199" s="794">
        <v>10</v>
      </c>
      <c r="C199" s="795">
        <v>4.5</v>
      </c>
      <c r="D199" s="796">
        <f t="shared" ref="D199:D216" si="67">C199*$B199</f>
        <v>45</v>
      </c>
      <c r="E199" s="797"/>
      <c r="F199" s="798">
        <f t="shared" ref="F199:F216" si="68">E199*$B199</f>
        <v>0</v>
      </c>
      <c r="G199" s="795"/>
      <c r="H199" s="798">
        <f t="shared" ref="H199:H216" si="69">G199*$B199</f>
        <v>0</v>
      </c>
      <c r="I199" s="798"/>
      <c r="J199" s="798">
        <f t="shared" ref="J199:J216" si="70">I199*$B199</f>
        <v>0</v>
      </c>
      <c r="K199" s="798"/>
      <c r="L199" s="798">
        <f t="shared" ref="L199:L216" si="71">K199*$B199</f>
        <v>0</v>
      </c>
      <c r="M199" s="795"/>
      <c r="N199" s="798">
        <f t="shared" ref="N199:N216" si="72">M199*$B199</f>
        <v>0</v>
      </c>
      <c r="O199" s="798"/>
      <c r="P199" s="798">
        <f t="shared" ref="P199:P216" si="73">O199*$B199</f>
        <v>0</v>
      </c>
      <c r="Q199" s="798"/>
      <c r="R199" s="798">
        <f t="shared" ref="R199:R216" si="74">Q199*$B199</f>
        <v>0</v>
      </c>
    </row>
    <row r="200" spans="1:18" ht="12" hidden="1" customHeight="1">
      <c r="A200" s="799">
        <v>2</v>
      </c>
      <c r="B200" s="800">
        <v>10</v>
      </c>
      <c r="C200" s="801">
        <v>5</v>
      </c>
      <c r="D200" s="802">
        <f t="shared" si="67"/>
        <v>50</v>
      </c>
      <c r="E200" s="803"/>
      <c r="F200" s="804">
        <f t="shared" si="68"/>
        <v>0</v>
      </c>
      <c r="G200" s="801"/>
      <c r="H200" s="804">
        <f t="shared" si="69"/>
        <v>0</v>
      </c>
      <c r="I200" s="804"/>
      <c r="J200" s="804">
        <f t="shared" si="70"/>
        <v>0</v>
      </c>
      <c r="K200" s="804"/>
      <c r="L200" s="804">
        <f t="shared" si="71"/>
        <v>0</v>
      </c>
      <c r="M200" s="801"/>
      <c r="N200" s="804">
        <f t="shared" si="72"/>
        <v>0</v>
      </c>
      <c r="O200" s="804"/>
      <c r="P200" s="804">
        <f t="shared" si="73"/>
        <v>0</v>
      </c>
      <c r="Q200" s="804"/>
      <c r="R200" s="804">
        <f t="shared" si="74"/>
        <v>0</v>
      </c>
    </row>
    <row r="201" spans="1:18" ht="12.75" hidden="1" customHeight="1" thickBot="1">
      <c r="A201" s="805">
        <v>3</v>
      </c>
      <c r="B201" s="806">
        <v>10</v>
      </c>
      <c r="C201" s="807">
        <v>5</v>
      </c>
      <c r="D201" s="808">
        <f t="shared" si="67"/>
        <v>50</v>
      </c>
      <c r="E201" s="809">
        <v>0.1</v>
      </c>
      <c r="F201" s="810">
        <f t="shared" si="68"/>
        <v>1</v>
      </c>
      <c r="G201" s="807">
        <v>0.1</v>
      </c>
      <c r="H201" s="810">
        <f t="shared" si="69"/>
        <v>1</v>
      </c>
      <c r="I201" s="810"/>
      <c r="J201" s="810">
        <f t="shared" si="70"/>
        <v>0</v>
      </c>
      <c r="K201" s="810"/>
      <c r="L201" s="810">
        <f t="shared" si="71"/>
        <v>0</v>
      </c>
      <c r="M201" s="807"/>
      <c r="N201" s="810">
        <f t="shared" si="72"/>
        <v>0</v>
      </c>
      <c r="O201" s="810">
        <v>5</v>
      </c>
      <c r="P201" s="810">
        <f t="shared" si="73"/>
        <v>50</v>
      </c>
      <c r="Q201" s="810">
        <v>5</v>
      </c>
      <c r="R201" s="810">
        <f t="shared" si="74"/>
        <v>50</v>
      </c>
    </row>
    <row r="202" spans="1:18" ht="12" hidden="1" customHeight="1">
      <c r="A202" s="793">
        <v>1</v>
      </c>
      <c r="B202" s="794">
        <v>10</v>
      </c>
      <c r="C202" s="795">
        <v>4.5</v>
      </c>
      <c r="D202" s="796">
        <f t="shared" si="67"/>
        <v>45</v>
      </c>
      <c r="E202" s="797">
        <v>0.5</v>
      </c>
      <c r="F202" s="798">
        <f t="shared" si="68"/>
        <v>5</v>
      </c>
      <c r="G202" s="795">
        <v>0.5</v>
      </c>
      <c r="H202" s="798">
        <f t="shared" si="69"/>
        <v>5</v>
      </c>
      <c r="I202" s="798"/>
      <c r="J202" s="798">
        <f t="shared" si="70"/>
        <v>0</v>
      </c>
      <c r="K202" s="798">
        <v>0.2</v>
      </c>
      <c r="L202" s="798">
        <f t="shared" si="71"/>
        <v>2</v>
      </c>
      <c r="M202" s="795">
        <v>0.4</v>
      </c>
      <c r="N202" s="798">
        <f t="shared" si="72"/>
        <v>4</v>
      </c>
      <c r="O202" s="798">
        <v>10</v>
      </c>
      <c r="P202" s="798">
        <f t="shared" si="73"/>
        <v>100</v>
      </c>
      <c r="Q202" s="798">
        <v>10</v>
      </c>
      <c r="R202" s="798">
        <f t="shared" si="74"/>
        <v>100</v>
      </c>
    </row>
    <row r="203" spans="1:18" ht="12" hidden="1" customHeight="1">
      <c r="A203" s="799">
        <v>2</v>
      </c>
      <c r="B203" s="800">
        <v>10</v>
      </c>
      <c r="C203" s="801">
        <v>3.5</v>
      </c>
      <c r="D203" s="802">
        <f t="shared" si="67"/>
        <v>35</v>
      </c>
      <c r="E203" s="803">
        <v>0.8</v>
      </c>
      <c r="F203" s="804">
        <f t="shared" si="68"/>
        <v>8</v>
      </c>
      <c r="G203" s="801">
        <v>0.8</v>
      </c>
      <c r="H203" s="804">
        <f t="shared" si="69"/>
        <v>8</v>
      </c>
      <c r="I203" s="804"/>
      <c r="J203" s="804">
        <f t="shared" si="70"/>
        <v>0</v>
      </c>
      <c r="K203" s="804">
        <v>0.3</v>
      </c>
      <c r="L203" s="804">
        <f t="shared" si="71"/>
        <v>3</v>
      </c>
      <c r="M203" s="801">
        <v>0.7</v>
      </c>
      <c r="N203" s="804">
        <f t="shared" si="72"/>
        <v>7</v>
      </c>
      <c r="O203" s="804">
        <v>10</v>
      </c>
      <c r="P203" s="804">
        <f t="shared" si="73"/>
        <v>100</v>
      </c>
      <c r="Q203" s="804">
        <v>10</v>
      </c>
      <c r="R203" s="804">
        <f t="shared" si="74"/>
        <v>100</v>
      </c>
    </row>
    <row r="204" spans="1:18" ht="12.75" hidden="1" customHeight="1" thickBot="1">
      <c r="A204" s="805">
        <v>3</v>
      </c>
      <c r="B204" s="806">
        <v>10</v>
      </c>
      <c r="C204" s="807">
        <v>2</v>
      </c>
      <c r="D204" s="808">
        <f t="shared" si="67"/>
        <v>20</v>
      </c>
      <c r="E204" s="809">
        <v>1.2</v>
      </c>
      <c r="F204" s="810">
        <f t="shared" si="68"/>
        <v>12</v>
      </c>
      <c r="G204" s="807">
        <v>1.2</v>
      </c>
      <c r="H204" s="810">
        <f t="shared" si="69"/>
        <v>12</v>
      </c>
      <c r="I204" s="810"/>
      <c r="J204" s="810">
        <f t="shared" si="70"/>
        <v>0</v>
      </c>
      <c r="K204" s="810">
        <v>0.5</v>
      </c>
      <c r="L204" s="810">
        <f t="shared" si="71"/>
        <v>5</v>
      </c>
      <c r="M204" s="807">
        <v>1.1000000000000001</v>
      </c>
      <c r="N204" s="810">
        <f t="shared" si="72"/>
        <v>11</v>
      </c>
      <c r="O204" s="810">
        <v>10</v>
      </c>
      <c r="P204" s="810">
        <f t="shared" si="73"/>
        <v>100</v>
      </c>
      <c r="Q204" s="810">
        <v>10</v>
      </c>
      <c r="R204" s="810">
        <f t="shared" si="74"/>
        <v>100</v>
      </c>
    </row>
    <row r="205" spans="1:18" ht="12" hidden="1" customHeight="1">
      <c r="A205" s="793">
        <v>1</v>
      </c>
      <c r="B205" s="794">
        <v>10</v>
      </c>
      <c r="C205" s="795">
        <v>1</v>
      </c>
      <c r="D205" s="796">
        <f t="shared" si="67"/>
        <v>10</v>
      </c>
      <c r="E205" s="797">
        <v>1.5</v>
      </c>
      <c r="F205" s="798">
        <f t="shared" si="68"/>
        <v>15</v>
      </c>
      <c r="G205" s="795">
        <v>1.5</v>
      </c>
      <c r="H205" s="798">
        <f t="shared" si="69"/>
        <v>15</v>
      </c>
      <c r="I205" s="798"/>
      <c r="J205" s="798">
        <f t="shared" si="70"/>
        <v>0</v>
      </c>
      <c r="K205" s="798">
        <v>1</v>
      </c>
      <c r="L205" s="798">
        <f t="shared" si="71"/>
        <v>10</v>
      </c>
      <c r="M205" s="795">
        <v>1.3</v>
      </c>
      <c r="N205" s="798">
        <f t="shared" si="72"/>
        <v>13</v>
      </c>
      <c r="O205" s="798">
        <v>10</v>
      </c>
      <c r="P205" s="798">
        <f t="shared" si="73"/>
        <v>100</v>
      </c>
      <c r="Q205" s="798">
        <v>10</v>
      </c>
      <c r="R205" s="798">
        <f t="shared" si="74"/>
        <v>100</v>
      </c>
    </row>
    <row r="206" spans="1:18" ht="12" hidden="1" customHeight="1">
      <c r="A206" s="799">
        <v>2</v>
      </c>
      <c r="B206" s="800">
        <v>10</v>
      </c>
      <c r="C206" s="801">
        <v>0.5</v>
      </c>
      <c r="D206" s="802">
        <f t="shared" si="67"/>
        <v>5</v>
      </c>
      <c r="E206" s="803">
        <v>2</v>
      </c>
      <c r="F206" s="804">
        <f t="shared" si="68"/>
        <v>20</v>
      </c>
      <c r="G206" s="801">
        <v>2</v>
      </c>
      <c r="H206" s="804">
        <f t="shared" si="69"/>
        <v>20</v>
      </c>
      <c r="I206" s="804"/>
      <c r="J206" s="804">
        <f t="shared" si="70"/>
        <v>0</v>
      </c>
      <c r="K206" s="804">
        <v>1</v>
      </c>
      <c r="L206" s="804">
        <f t="shared" si="71"/>
        <v>10</v>
      </c>
      <c r="M206" s="801">
        <v>1.5</v>
      </c>
      <c r="N206" s="804">
        <f t="shared" si="72"/>
        <v>15</v>
      </c>
      <c r="O206" s="804">
        <v>10</v>
      </c>
      <c r="P206" s="804">
        <f t="shared" si="73"/>
        <v>100</v>
      </c>
      <c r="Q206" s="804">
        <v>10</v>
      </c>
      <c r="R206" s="804">
        <f t="shared" si="74"/>
        <v>100</v>
      </c>
    </row>
    <row r="207" spans="1:18" ht="12.75" hidden="1" customHeight="1" thickBot="1">
      <c r="A207" s="805">
        <v>3</v>
      </c>
      <c r="B207" s="806">
        <v>10</v>
      </c>
      <c r="C207" s="807"/>
      <c r="D207" s="808">
        <f t="shared" si="67"/>
        <v>0</v>
      </c>
      <c r="E207" s="809">
        <v>2.5</v>
      </c>
      <c r="F207" s="810">
        <f t="shared" si="68"/>
        <v>25</v>
      </c>
      <c r="G207" s="807">
        <v>2.5</v>
      </c>
      <c r="H207" s="810">
        <f t="shared" si="69"/>
        <v>25</v>
      </c>
      <c r="I207" s="810"/>
      <c r="J207" s="810">
        <f t="shared" si="70"/>
        <v>0</v>
      </c>
      <c r="K207" s="810">
        <v>1</v>
      </c>
      <c r="L207" s="810">
        <f t="shared" si="71"/>
        <v>10</v>
      </c>
      <c r="M207" s="807">
        <v>1.6</v>
      </c>
      <c r="N207" s="810">
        <f t="shared" si="72"/>
        <v>16</v>
      </c>
      <c r="O207" s="810">
        <v>10</v>
      </c>
      <c r="P207" s="810">
        <f t="shared" si="73"/>
        <v>100</v>
      </c>
      <c r="Q207" s="810">
        <v>10</v>
      </c>
      <c r="R207" s="810">
        <f t="shared" si="74"/>
        <v>100</v>
      </c>
    </row>
    <row r="208" spans="1:18" ht="12" hidden="1" customHeight="1">
      <c r="A208" s="793">
        <v>1</v>
      </c>
      <c r="B208" s="794">
        <v>10</v>
      </c>
      <c r="C208" s="795"/>
      <c r="D208" s="796">
        <f t="shared" si="67"/>
        <v>0</v>
      </c>
      <c r="E208" s="797"/>
      <c r="F208" s="798">
        <f t="shared" si="68"/>
        <v>0</v>
      </c>
      <c r="G208" s="795"/>
      <c r="H208" s="798">
        <f t="shared" si="69"/>
        <v>0</v>
      </c>
      <c r="I208" s="798">
        <v>6</v>
      </c>
      <c r="J208" s="798">
        <f t="shared" si="70"/>
        <v>60</v>
      </c>
      <c r="K208" s="798">
        <v>1</v>
      </c>
      <c r="L208" s="798">
        <f t="shared" si="71"/>
        <v>10</v>
      </c>
      <c r="M208" s="795">
        <v>1.6</v>
      </c>
      <c r="N208" s="798">
        <f t="shared" si="72"/>
        <v>16</v>
      </c>
      <c r="O208" s="798">
        <v>15</v>
      </c>
      <c r="P208" s="798">
        <f t="shared" si="73"/>
        <v>150</v>
      </c>
      <c r="Q208" s="798">
        <v>15</v>
      </c>
      <c r="R208" s="798">
        <f t="shared" si="74"/>
        <v>150</v>
      </c>
    </row>
    <row r="209" spans="1:20" ht="12" hidden="1" customHeight="1">
      <c r="A209" s="799">
        <v>2</v>
      </c>
      <c r="B209" s="800">
        <v>10</v>
      </c>
      <c r="C209" s="801"/>
      <c r="D209" s="802">
        <f t="shared" si="67"/>
        <v>0</v>
      </c>
      <c r="E209" s="803"/>
      <c r="F209" s="804">
        <f t="shared" si="68"/>
        <v>0</v>
      </c>
      <c r="G209" s="801"/>
      <c r="H209" s="804">
        <f t="shared" si="69"/>
        <v>0</v>
      </c>
      <c r="I209" s="804">
        <v>8</v>
      </c>
      <c r="J209" s="804">
        <f t="shared" si="70"/>
        <v>80</v>
      </c>
      <c r="K209" s="804">
        <v>1</v>
      </c>
      <c r="L209" s="804">
        <f t="shared" si="71"/>
        <v>10</v>
      </c>
      <c r="M209" s="801">
        <v>1.6</v>
      </c>
      <c r="N209" s="804">
        <f t="shared" si="72"/>
        <v>16</v>
      </c>
      <c r="O209" s="804">
        <v>15</v>
      </c>
      <c r="P209" s="804">
        <f t="shared" si="73"/>
        <v>150</v>
      </c>
      <c r="Q209" s="804">
        <v>15</v>
      </c>
      <c r="R209" s="804">
        <f t="shared" si="74"/>
        <v>150</v>
      </c>
    </row>
    <row r="210" spans="1:20" ht="12.75" hidden="1" customHeight="1" thickBot="1">
      <c r="A210" s="805">
        <v>3</v>
      </c>
      <c r="B210" s="806">
        <v>10</v>
      </c>
      <c r="C210" s="807"/>
      <c r="D210" s="808">
        <f t="shared" si="67"/>
        <v>0</v>
      </c>
      <c r="E210" s="809"/>
      <c r="F210" s="810">
        <f t="shared" si="68"/>
        <v>0</v>
      </c>
      <c r="G210" s="807"/>
      <c r="H210" s="810">
        <f t="shared" si="69"/>
        <v>0</v>
      </c>
      <c r="I210" s="810">
        <v>10</v>
      </c>
      <c r="J210" s="810">
        <f t="shared" si="70"/>
        <v>100</v>
      </c>
      <c r="K210" s="810">
        <v>1</v>
      </c>
      <c r="L210" s="810">
        <f t="shared" si="71"/>
        <v>10</v>
      </c>
      <c r="M210" s="807">
        <v>1.6</v>
      </c>
      <c r="N210" s="810">
        <f t="shared" si="72"/>
        <v>16</v>
      </c>
      <c r="O210" s="810">
        <v>15</v>
      </c>
      <c r="P210" s="810">
        <f t="shared" si="73"/>
        <v>150</v>
      </c>
      <c r="Q210" s="810">
        <v>15</v>
      </c>
      <c r="R210" s="810">
        <f t="shared" si="74"/>
        <v>150</v>
      </c>
    </row>
    <row r="211" spans="1:20" ht="12" hidden="1" customHeight="1">
      <c r="A211" s="793">
        <v>1</v>
      </c>
      <c r="B211" s="794">
        <v>10</v>
      </c>
      <c r="C211" s="795"/>
      <c r="D211" s="796">
        <f t="shared" si="67"/>
        <v>0</v>
      </c>
      <c r="E211" s="797"/>
      <c r="F211" s="798">
        <f t="shared" si="68"/>
        <v>0</v>
      </c>
      <c r="G211" s="795"/>
      <c r="H211" s="798">
        <f t="shared" si="69"/>
        <v>0</v>
      </c>
      <c r="I211" s="798">
        <v>10</v>
      </c>
      <c r="J211" s="798">
        <f t="shared" si="70"/>
        <v>100</v>
      </c>
      <c r="K211" s="798">
        <v>1</v>
      </c>
      <c r="L211" s="798">
        <f t="shared" si="71"/>
        <v>10</v>
      </c>
      <c r="M211" s="795">
        <v>1.5</v>
      </c>
      <c r="N211" s="798">
        <f t="shared" si="72"/>
        <v>15</v>
      </c>
      <c r="O211" s="798">
        <v>15</v>
      </c>
      <c r="P211" s="798">
        <f t="shared" si="73"/>
        <v>150</v>
      </c>
      <c r="Q211" s="798">
        <v>15</v>
      </c>
      <c r="R211" s="798">
        <f t="shared" si="74"/>
        <v>150</v>
      </c>
    </row>
    <row r="212" spans="1:20" ht="12" hidden="1" customHeight="1">
      <c r="A212" s="799">
        <v>2</v>
      </c>
      <c r="B212" s="800">
        <v>10</v>
      </c>
      <c r="C212" s="801"/>
      <c r="D212" s="802">
        <f t="shared" si="67"/>
        <v>0</v>
      </c>
      <c r="E212" s="803"/>
      <c r="F212" s="804">
        <f t="shared" si="68"/>
        <v>0</v>
      </c>
      <c r="G212" s="801"/>
      <c r="H212" s="804">
        <f t="shared" si="69"/>
        <v>0</v>
      </c>
      <c r="I212" s="804">
        <v>12</v>
      </c>
      <c r="J212" s="804">
        <f t="shared" si="70"/>
        <v>120</v>
      </c>
      <c r="K212" s="804">
        <v>1</v>
      </c>
      <c r="L212" s="804">
        <f t="shared" si="71"/>
        <v>10</v>
      </c>
      <c r="M212" s="801">
        <v>1</v>
      </c>
      <c r="N212" s="804">
        <f t="shared" si="72"/>
        <v>10</v>
      </c>
      <c r="O212" s="804">
        <v>15</v>
      </c>
      <c r="P212" s="804">
        <f t="shared" si="73"/>
        <v>150</v>
      </c>
      <c r="Q212" s="804">
        <v>15</v>
      </c>
      <c r="R212" s="804">
        <f t="shared" si="74"/>
        <v>150</v>
      </c>
    </row>
    <row r="213" spans="1:20" ht="12.75" hidden="1" customHeight="1" thickBot="1">
      <c r="A213" s="805">
        <v>3</v>
      </c>
      <c r="B213" s="806">
        <v>10</v>
      </c>
      <c r="C213" s="807"/>
      <c r="D213" s="808">
        <f t="shared" si="67"/>
        <v>0</v>
      </c>
      <c r="E213" s="809"/>
      <c r="F213" s="810">
        <f t="shared" si="68"/>
        <v>0</v>
      </c>
      <c r="G213" s="807"/>
      <c r="H213" s="810">
        <f t="shared" si="69"/>
        <v>0</v>
      </c>
      <c r="I213" s="810">
        <v>14</v>
      </c>
      <c r="J213" s="810">
        <f t="shared" si="70"/>
        <v>140</v>
      </c>
      <c r="K213" s="810">
        <v>1</v>
      </c>
      <c r="L213" s="810">
        <f t="shared" si="71"/>
        <v>10</v>
      </c>
      <c r="M213" s="807">
        <v>1</v>
      </c>
      <c r="N213" s="810">
        <f t="shared" si="72"/>
        <v>10</v>
      </c>
      <c r="O213" s="810">
        <v>15</v>
      </c>
      <c r="P213" s="810">
        <f t="shared" si="73"/>
        <v>150</v>
      </c>
      <c r="Q213" s="810">
        <v>15</v>
      </c>
      <c r="R213" s="810">
        <f t="shared" si="74"/>
        <v>150</v>
      </c>
    </row>
    <row r="214" spans="1:20" ht="12" hidden="1" customHeight="1">
      <c r="A214" s="793">
        <v>1</v>
      </c>
      <c r="B214" s="794">
        <v>10</v>
      </c>
      <c r="C214" s="795"/>
      <c r="D214" s="796">
        <f t="shared" si="67"/>
        <v>0</v>
      </c>
      <c r="E214" s="797"/>
      <c r="F214" s="798">
        <f t="shared" si="68"/>
        <v>0</v>
      </c>
      <c r="G214" s="795"/>
      <c r="H214" s="798">
        <f t="shared" si="69"/>
        <v>0</v>
      </c>
      <c r="I214" s="798">
        <v>14</v>
      </c>
      <c r="J214" s="798">
        <f t="shared" si="70"/>
        <v>140</v>
      </c>
      <c r="K214" s="798">
        <v>1</v>
      </c>
      <c r="L214" s="798">
        <f t="shared" si="71"/>
        <v>10</v>
      </c>
      <c r="M214" s="795">
        <v>0.8</v>
      </c>
      <c r="N214" s="798">
        <f t="shared" si="72"/>
        <v>8</v>
      </c>
      <c r="O214" s="798">
        <v>20</v>
      </c>
      <c r="P214" s="798">
        <f t="shared" si="73"/>
        <v>200</v>
      </c>
      <c r="Q214" s="798">
        <v>20</v>
      </c>
      <c r="R214" s="798">
        <f t="shared" si="74"/>
        <v>200</v>
      </c>
    </row>
    <row r="215" spans="1:20" ht="12" hidden="1" customHeight="1">
      <c r="A215" s="799">
        <v>2</v>
      </c>
      <c r="B215" s="800">
        <v>10</v>
      </c>
      <c r="C215" s="801"/>
      <c r="D215" s="802">
        <f t="shared" si="67"/>
        <v>0</v>
      </c>
      <c r="E215" s="803"/>
      <c r="F215" s="804">
        <f t="shared" si="68"/>
        <v>0</v>
      </c>
      <c r="G215" s="801"/>
      <c r="H215" s="804">
        <f t="shared" si="69"/>
        <v>0</v>
      </c>
      <c r="I215" s="804">
        <v>16</v>
      </c>
      <c r="J215" s="804">
        <f t="shared" si="70"/>
        <v>160</v>
      </c>
      <c r="K215" s="804">
        <v>1</v>
      </c>
      <c r="L215" s="804">
        <f t="shared" si="71"/>
        <v>10</v>
      </c>
      <c r="M215" s="801">
        <v>0.7</v>
      </c>
      <c r="N215" s="804">
        <f t="shared" si="72"/>
        <v>7</v>
      </c>
      <c r="O215" s="804">
        <v>20</v>
      </c>
      <c r="P215" s="804">
        <f t="shared" si="73"/>
        <v>200</v>
      </c>
      <c r="Q215" s="804">
        <v>20</v>
      </c>
      <c r="R215" s="804">
        <f t="shared" si="74"/>
        <v>200</v>
      </c>
    </row>
    <row r="216" spans="1:20" ht="12.75" hidden="1" customHeight="1" thickBot="1">
      <c r="A216" s="805">
        <v>3</v>
      </c>
      <c r="B216" s="806">
        <v>10</v>
      </c>
      <c r="C216" s="807"/>
      <c r="D216" s="808">
        <f t="shared" si="67"/>
        <v>0</v>
      </c>
      <c r="E216" s="809"/>
      <c r="F216" s="810">
        <f t="shared" si="68"/>
        <v>0</v>
      </c>
      <c r="G216" s="807"/>
      <c r="H216" s="810">
        <f t="shared" si="69"/>
        <v>0</v>
      </c>
      <c r="I216" s="810">
        <v>18</v>
      </c>
      <c r="J216" s="810">
        <f t="shared" si="70"/>
        <v>180</v>
      </c>
      <c r="K216" s="810">
        <v>1</v>
      </c>
      <c r="L216" s="810">
        <f t="shared" si="71"/>
        <v>10</v>
      </c>
      <c r="M216" s="807">
        <v>0.7</v>
      </c>
      <c r="N216" s="810">
        <f t="shared" si="72"/>
        <v>7</v>
      </c>
      <c r="O216" s="810">
        <v>20</v>
      </c>
      <c r="P216" s="810">
        <f t="shared" si="73"/>
        <v>200</v>
      </c>
      <c r="Q216" s="810">
        <v>20</v>
      </c>
      <c r="R216" s="810">
        <f t="shared" si="74"/>
        <v>200</v>
      </c>
    </row>
    <row r="217" spans="1:20" ht="12" hidden="1" customHeight="1">
      <c r="A217" s="787"/>
      <c r="B217" s="811">
        <f>SUM(B199:B216)</f>
        <v>180</v>
      </c>
      <c r="C217" s="812"/>
      <c r="D217" s="813">
        <f>SUM(D199:D216)</f>
        <v>260</v>
      </c>
      <c r="E217" s="813"/>
      <c r="F217" s="811">
        <f t="shared" ref="F217:P217" si="75">SUM(F199:F216)</f>
        <v>86</v>
      </c>
      <c r="G217" s="811"/>
      <c r="H217" s="811">
        <f t="shared" si="75"/>
        <v>86</v>
      </c>
      <c r="I217" s="811"/>
      <c r="J217" s="811">
        <f t="shared" si="75"/>
        <v>1080</v>
      </c>
      <c r="K217" s="811"/>
      <c r="L217" s="811">
        <f t="shared" si="75"/>
        <v>130</v>
      </c>
      <c r="M217" s="811"/>
      <c r="N217" s="811">
        <f t="shared" si="75"/>
        <v>171</v>
      </c>
      <c r="O217" s="811"/>
      <c r="P217" s="811">
        <f t="shared" si="75"/>
        <v>2150</v>
      </c>
      <c r="Q217" s="811"/>
      <c r="R217" s="811">
        <f>SUM(R199:R216)</f>
        <v>2150</v>
      </c>
    </row>
    <row r="218" spans="1:20" ht="12" hidden="1" customHeight="1">
      <c r="C218" s="786">
        <f>SUMIF(C199:C216,"&gt;0",$B199:$B216)</f>
        <v>80</v>
      </c>
      <c r="D218" s="786"/>
      <c r="E218" s="786">
        <f>SUMIF(E199:E216,"&gt;0",$B199:$B216)</f>
        <v>70</v>
      </c>
      <c r="G218" s="786">
        <f>SUMIF(G199:G216,"&gt;0",$B199:$B216)</f>
        <v>70</v>
      </c>
      <c r="I218" s="786">
        <f>SUMIF(I199:I216,"&gt;0",$B199:$B216)</f>
        <v>90</v>
      </c>
      <c r="K218" s="786">
        <f>SUMIF(K199:K216,"&gt;0",$B199:$B216)</f>
        <v>150</v>
      </c>
      <c r="M218" s="786">
        <f>SUMIF(M199:M216,"&gt;0",$B199:$B216)</f>
        <v>150</v>
      </c>
      <c r="O218" s="786">
        <f>SUMIF(O199:O216,"&gt;0",$B199:$B216)</f>
        <v>160</v>
      </c>
      <c r="Q218" s="786">
        <f>SUMIF(Q199:Q216,"&gt;0",$B199:$B216)</f>
        <v>160</v>
      </c>
      <c r="R218" s="786"/>
    </row>
    <row r="219" spans="1:20" ht="12" hidden="1" customHeight="1"/>
    <row r="221" spans="1:20">
      <c r="R221" s="789">
        <f>Q221/2</f>
        <v>0</v>
      </c>
    </row>
    <row r="223" spans="1:20">
      <c r="P223" s="786" t="e">
        <f>B35+B63</f>
        <v>#REF!</v>
      </c>
      <c r="Q223" s="814">
        <v>0.88</v>
      </c>
      <c r="R223" s="815" t="e">
        <f>P223*Q223</f>
        <v>#REF!</v>
      </c>
      <c r="S223" s="816" t="e">
        <f>R223*50%</f>
        <v>#REF!</v>
      </c>
      <c r="T223" s="727">
        <v>23</v>
      </c>
    </row>
    <row r="224" spans="1:20">
      <c r="S224" s="816" t="e">
        <f>R223*50%</f>
        <v>#REF!</v>
      </c>
      <c r="T224" s="727">
        <v>74</v>
      </c>
    </row>
  </sheetData>
  <sheetProtection selectLockedCells="1" selectUnlockedCells="1"/>
  <mergeCells count="9">
    <mergeCell ref="M198:N198"/>
    <mergeCell ref="O198:P198"/>
    <mergeCell ref="Q198:R198"/>
    <mergeCell ref="B3:E3"/>
    <mergeCell ref="C198:D198"/>
    <mergeCell ref="E198:F198"/>
    <mergeCell ref="G198:H198"/>
    <mergeCell ref="I198:J198"/>
    <mergeCell ref="K198:L198"/>
  </mergeCells>
  <conditionalFormatting sqref="R11 R25 R39 R53 R67 R81 R95 R109 R123 R137 R151 R165 R179">
    <cfRule type="cellIs" dxfId="3" priority="1" stopIfTrue="1" operator="equal">
      <formula>0</formula>
    </cfRule>
  </conditionalFormatting>
  <pageMargins left="0.7" right="0.7" top="0.75" bottom="0.75" header="0.51180555555555551" footer="0.51180555555555551"/>
  <pageSetup paperSize="9" scale="59" firstPageNumber="0" fitToHeight="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224"/>
  <sheetViews>
    <sheetView topLeftCell="A148" zoomScaleSheetLayoutView="100" workbookViewId="0">
      <selection activeCell="J27" sqref="J27"/>
    </sheetView>
  </sheetViews>
  <sheetFormatPr defaultColWidth="9.140625" defaultRowHeight="12" outlineLevelRow="1"/>
  <cols>
    <col min="1" max="1" width="34.5703125" style="785" customWidth="1"/>
    <col min="2" max="2" width="6.5703125" style="786" customWidth="1"/>
    <col min="3" max="3" width="7.5703125" style="786" customWidth="1"/>
    <col min="4" max="4" width="10" style="787" bestFit="1" customWidth="1"/>
    <col min="5" max="5" width="11" style="788" customWidth="1"/>
    <col min="6" max="17" width="6" style="786" customWidth="1"/>
    <col min="18" max="18" width="6.7109375" style="789" customWidth="1"/>
    <col min="19" max="16384" width="9.140625" style="727"/>
  </cols>
  <sheetData>
    <row r="1" spans="1:18" s="636" customFormat="1">
      <c r="A1" s="633"/>
      <c r="B1" s="634"/>
      <c r="C1" s="634"/>
      <c r="D1" s="634"/>
      <c r="E1" s="634"/>
      <c r="F1" s="634"/>
      <c r="G1" s="634"/>
      <c r="H1" s="634"/>
      <c r="I1" s="634"/>
      <c r="J1" s="634"/>
      <c r="K1" s="634"/>
      <c r="L1" s="634"/>
      <c r="M1" s="634"/>
      <c r="N1" s="634"/>
      <c r="O1" s="634"/>
      <c r="P1" s="634"/>
      <c r="Q1" s="634"/>
      <c r="R1" s="635"/>
    </row>
    <row r="2" spans="1:18" s="636" customFormat="1" ht="12.75" thickBot="1">
      <c r="A2" s="633"/>
      <c r="B2" s="634"/>
      <c r="C2" s="634"/>
      <c r="D2" s="634"/>
      <c r="E2" s="634"/>
      <c r="F2" s="634"/>
      <c r="G2" s="634"/>
      <c r="H2" s="634"/>
      <c r="I2" s="634"/>
      <c r="J2" s="634"/>
      <c r="K2" s="634"/>
      <c r="L2" s="634"/>
      <c r="M2" s="634"/>
      <c r="N2" s="634"/>
      <c r="O2" s="634"/>
      <c r="P2" s="634"/>
      <c r="Q2" s="634"/>
      <c r="R2" s="634"/>
    </row>
    <row r="3" spans="1:18" s="641" customFormat="1" ht="11.25" customHeight="1">
      <c r="A3" s="637" t="s">
        <v>224</v>
      </c>
      <c r="B3" s="2311" t="s">
        <v>225</v>
      </c>
      <c r="C3" s="2311"/>
      <c r="D3" s="2311"/>
      <c r="E3" s="2311"/>
      <c r="F3" s="638" t="s">
        <v>226</v>
      </c>
      <c r="G3" s="639" t="s">
        <v>227</v>
      </c>
      <c r="H3" s="639" t="s">
        <v>228</v>
      </c>
      <c r="I3" s="639" t="s">
        <v>229</v>
      </c>
      <c r="J3" s="639" t="s">
        <v>230</v>
      </c>
      <c r="K3" s="639" t="s">
        <v>231</v>
      </c>
      <c r="L3" s="639" t="s">
        <v>232</v>
      </c>
      <c r="M3" s="639" t="s">
        <v>233</v>
      </c>
      <c r="N3" s="639" t="s">
        <v>234</v>
      </c>
      <c r="O3" s="639" t="s">
        <v>235</v>
      </c>
      <c r="P3" s="639" t="s">
        <v>236</v>
      </c>
      <c r="Q3" s="639" t="s">
        <v>237</v>
      </c>
      <c r="R3" s="640" t="s">
        <v>238</v>
      </c>
    </row>
    <row r="4" spans="1:18" s="649" customFormat="1" ht="60.75" customHeight="1" thickBot="1">
      <c r="A4" s="642" t="s">
        <v>239</v>
      </c>
      <c r="B4" s="643" t="s">
        <v>240</v>
      </c>
      <c r="C4" s="643" t="s">
        <v>241</v>
      </c>
      <c r="D4" s="644" t="s">
        <v>242</v>
      </c>
      <c r="E4" s="645" t="s">
        <v>243</v>
      </c>
      <c r="F4" s="646">
        <v>31</v>
      </c>
      <c r="G4" s="647">
        <v>29</v>
      </c>
      <c r="H4" s="647">
        <v>31</v>
      </c>
      <c r="I4" s="647">
        <v>30</v>
      </c>
      <c r="J4" s="647">
        <v>31</v>
      </c>
      <c r="K4" s="647">
        <v>30</v>
      </c>
      <c r="L4" s="647">
        <v>31</v>
      </c>
      <c r="M4" s="647">
        <v>31</v>
      </c>
      <c r="N4" s="647">
        <v>30</v>
      </c>
      <c r="O4" s="647">
        <v>31</v>
      </c>
      <c r="P4" s="647">
        <v>30</v>
      </c>
      <c r="Q4" s="647">
        <v>31</v>
      </c>
      <c r="R4" s="648">
        <f>SUM(F4:Q4)</f>
        <v>366</v>
      </c>
    </row>
    <row r="5" spans="1:18" s="641" customFormat="1" ht="12.75" thickBot="1">
      <c r="A5" s="650" t="s">
        <v>244</v>
      </c>
      <c r="B5" s="651"/>
      <c r="C5" s="651"/>
      <c r="D5" s="652"/>
      <c r="E5" s="652"/>
      <c r="F5" s="651"/>
      <c r="G5" s="651"/>
      <c r="H5" s="651"/>
      <c r="I5" s="651"/>
      <c r="J5" s="651"/>
      <c r="K5" s="651"/>
      <c r="L5" s="651"/>
      <c r="M5" s="651"/>
      <c r="N5" s="651"/>
      <c r="O5" s="651"/>
      <c r="P5" s="651"/>
      <c r="Q5" s="651"/>
      <c r="R5" s="653"/>
    </row>
    <row r="6" spans="1:18" s="641" customFormat="1" ht="12.75" outlineLevel="1" thickBot="1">
      <c r="A6" s="654" t="s">
        <v>245</v>
      </c>
      <c r="B6" s="655"/>
      <c r="C6" s="655"/>
      <c r="D6" s="656"/>
      <c r="E6" s="657"/>
      <c r="F6" s="655"/>
      <c r="G6" s="655"/>
      <c r="H6" s="655"/>
      <c r="I6" s="655"/>
      <c r="J6" s="655"/>
      <c r="K6" s="655"/>
      <c r="L6" s="655"/>
      <c r="M6" s="655"/>
      <c r="N6" s="655"/>
      <c r="O6" s="655"/>
      <c r="P6" s="655"/>
      <c r="Q6" s="655"/>
      <c r="R6" s="658"/>
    </row>
    <row r="7" spans="1:18" s="666" customFormat="1" outlineLevel="1">
      <c r="A7" s="659" t="s">
        <v>246</v>
      </c>
      <c r="B7" s="660" t="e">
        <f>'КРМД-24'!R7</f>
        <v>#REF!</v>
      </c>
      <c r="C7" s="660"/>
      <c r="D7" s="661" t="e">
        <f>+B7*0.46</f>
        <v>#REF!</v>
      </c>
      <c r="E7" s="662" t="e">
        <f>B7*66</f>
        <v>#REF!</v>
      </c>
      <c r="F7" s="663" t="e">
        <f>B7</f>
        <v>#REF!</v>
      </c>
      <c r="G7" s="664" t="e">
        <f t="shared" ref="G7:Q7" si="0">(F7+F8+F9+F10-F12-F13-F14-F15-F16)</f>
        <v>#REF!</v>
      </c>
      <c r="H7" s="664" t="e">
        <f t="shared" si="0"/>
        <v>#REF!</v>
      </c>
      <c r="I7" s="664" t="e">
        <f t="shared" si="0"/>
        <v>#REF!</v>
      </c>
      <c r="J7" s="664" t="e">
        <f t="shared" si="0"/>
        <v>#REF!</v>
      </c>
      <c r="K7" s="664" t="e">
        <f t="shared" si="0"/>
        <v>#REF!</v>
      </c>
      <c r="L7" s="664" t="e">
        <f t="shared" si="0"/>
        <v>#REF!</v>
      </c>
      <c r="M7" s="664" t="e">
        <f t="shared" si="0"/>
        <v>#REF!</v>
      </c>
      <c r="N7" s="664" t="e">
        <f t="shared" si="0"/>
        <v>#REF!</v>
      </c>
      <c r="O7" s="664" t="e">
        <f t="shared" si="0"/>
        <v>#REF!</v>
      </c>
      <c r="P7" s="664" t="e">
        <f t="shared" si="0"/>
        <v>#REF!</v>
      </c>
      <c r="Q7" s="664" t="e">
        <f t="shared" si="0"/>
        <v>#REF!</v>
      </c>
      <c r="R7" s="665" t="e">
        <f>(Q7+Q8+Q9+Q10-Q12-Q13-Q14-Q15-Q16)</f>
        <v>#REF!</v>
      </c>
    </row>
    <row r="8" spans="1:18" s="666" customFormat="1" outlineLevel="1">
      <c r="A8" s="667" t="s">
        <v>247</v>
      </c>
      <c r="B8" s="668"/>
      <c r="C8" s="669"/>
      <c r="D8" s="670"/>
      <c r="E8" s="671"/>
      <c r="F8" s="672"/>
      <c r="G8" s="673"/>
      <c r="H8" s="673"/>
      <c r="I8" s="673"/>
      <c r="J8" s="673"/>
      <c r="K8" s="673"/>
      <c r="L8" s="673"/>
      <c r="M8" s="673"/>
      <c r="N8" s="673"/>
      <c r="O8" s="673"/>
      <c r="P8" s="673"/>
      <c r="Q8" s="673"/>
      <c r="R8" s="674">
        <f t="shared" ref="R8:R17" si="1">SUM(F8:Q8)</f>
        <v>0</v>
      </c>
    </row>
    <row r="9" spans="1:18" s="666" customFormat="1" outlineLevel="1">
      <c r="A9" s="667" t="s">
        <v>248</v>
      </c>
      <c r="B9" s="675"/>
      <c r="C9" s="676"/>
      <c r="D9" s="676"/>
      <c r="E9" s="677"/>
      <c r="F9" s="672"/>
      <c r="G9" s="673"/>
      <c r="H9" s="673"/>
      <c r="I9" s="673"/>
      <c r="J9" s="673"/>
      <c r="K9" s="673"/>
      <c r="L9" s="673"/>
      <c r="M9" s="673"/>
      <c r="N9" s="673"/>
      <c r="O9" s="673"/>
      <c r="P9" s="673"/>
      <c r="Q9" s="673"/>
      <c r="R9" s="674">
        <f t="shared" si="1"/>
        <v>0</v>
      </c>
    </row>
    <row r="10" spans="1:18" s="666" customFormat="1" ht="12.75" outlineLevel="1" thickBot="1">
      <c r="A10" s="678" t="s">
        <v>249</v>
      </c>
      <c r="B10" s="675"/>
      <c r="C10" s="676"/>
      <c r="D10" s="676"/>
      <c r="E10" s="677"/>
      <c r="F10" s="679"/>
      <c r="G10" s="680"/>
      <c r="H10" s="680"/>
      <c r="I10" s="680"/>
      <c r="J10" s="680"/>
      <c r="K10" s="680"/>
      <c r="L10" s="680"/>
      <c r="M10" s="680"/>
      <c r="N10" s="680"/>
      <c r="O10" s="680"/>
      <c r="P10" s="680"/>
      <c r="Q10" s="680"/>
      <c r="R10" s="681">
        <f t="shared" si="1"/>
        <v>0</v>
      </c>
    </row>
    <row r="11" spans="1:18" s="641" customFormat="1" ht="12.75" outlineLevel="1" thickBot="1">
      <c r="A11" s="682" t="s">
        <v>250</v>
      </c>
      <c r="B11" s="675"/>
      <c r="C11" s="676"/>
      <c r="D11" s="676"/>
      <c r="E11" s="677"/>
      <c r="F11" s="683"/>
      <c r="G11" s="655"/>
      <c r="H11" s="655"/>
      <c r="I11" s="655"/>
      <c r="J11" s="655"/>
      <c r="K11" s="655"/>
      <c r="L11" s="655"/>
      <c r="M11" s="655"/>
      <c r="N11" s="655"/>
      <c r="O11" s="655"/>
      <c r="P11" s="655"/>
      <c r="Q11" s="655"/>
      <c r="R11" s="684">
        <f t="shared" si="1"/>
        <v>0</v>
      </c>
    </row>
    <row r="12" spans="1:18" s="666" customFormat="1" outlineLevel="1">
      <c r="A12" s="685" t="s">
        <v>251</v>
      </c>
      <c r="B12" s="675"/>
      <c r="C12" s="676"/>
      <c r="D12" s="676"/>
      <c r="E12" s="677"/>
      <c r="F12" s="686"/>
      <c r="G12" s="687"/>
      <c r="H12" s="687"/>
      <c r="I12" s="687"/>
      <c r="J12" s="687"/>
      <c r="K12" s="687"/>
      <c r="L12" s="687"/>
      <c r="M12" s="687"/>
      <c r="N12" s="687"/>
      <c r="O12" s="687"/>
      <c r="P12" s="687"/>
      <c r="Q12" s="688"/>
      <c r="R12" s="689">
        <f t="shared" si="1"/>
        <v>0</v>
      </c>
    </row>
    <row r="13" spans="1:18" s="666" customFormat="1" ht="24" outlineLevel="1">
      <c r="A13" s="690" t="s">
        <v>252</v>
      </c>
      <c r="B13" s="675"/>
      <c r="C13" s="676"/>
      <c r="D13" s="676"/>
      <c r="E13" s="677"/>
      <c r="F13" s="691"/>
      <c r="G13" s="691"/>
      <c r="H13" s="691"/>
      <c r="I13" s="691"/>
      <c r="J13" s="691"/>
      <c r="K13" s="691"/>
      <c r="L13" s="691"/>
      <c r="M13" s="691"/>
      <c r="N13" s="691"/>
      <c r="O13" s="691"/>
      <c r="P13" s="691"/>
      <c r="Q13" s="691"/>
      <c r="R13" s="692">
        <f t="shared" si="1"/>
        <v>0</v>
      </c>
    </row>
    <row r="14" spans="1:18" s="666" customFormat="1" outlineLevel="1">
      <c r="A14" s="690" t="s">
        <v>253</v>
      </c>
      <c r="B14" s="675"/>
      <c r="C14" s="676"/>
      <c r="D14" s="676"/>
      <c r="E14" s="677"/>
      <c r="F14" s="691"/>
      <c r="G14" s="691"/>
      <c r="H14" s="691"/>
      <c r="I14" s="691"/>
      <c r="J14" s="691"/>
      <c r="K14" s="691"/>
      <c r="L14" s="691"/>
      <c r="M14" s="691"/>
      <c r="N14" s="691"/>
      <c r="O14" s="691"/>
      <c r="P14" s="691"/>
      <c r="Q14" s="691"/>
      <c r="R14" s="692">
        <f t="shared" si="1"/>
        <v>0</v>
      </c>
    </row>
    <row r="15" spans="1:18" s="666" customFormat="1" outlineLevel="1">
      <c r="A15" s="690" t="s">
        <v>254</v>
      </c>
      <c r="B15" s="675"/>
      <c r="C15" s="676"/>
      <c r="D15" s="676"/>
      <c r="E15" s="677"/>
      <c r="F15" s="691"/>
      <c r="G15" s="691"/>
      <c r="H15" s="691"/>
      <c r="I15" s="691"/>
      <c r="J15" s="691"/>
      <c r="K15" s="691"/>
      <c r="L15" s="691"/>
      <c r="M15" s="691"/>
      <c r="N15" s="691"/>
      <c r="O15" s="691"/>
      <c r="P15" s="691"/>
      <c r="Q15" s="691"/>
      <c r="R15" s="692">
        <f t="shared" si="1"/>
        <v>0</v>
      </c>
    </row>
    <row r="16" spans="1:18" s="666" customFormat="1" outlineLevel="1">
      <c r="A16" s="690" t="s">
        <v>255</v>
      </c>
      <c r="B16" s="675"/>
      <c r="C16" s="676"/>
      <c r="D16" s="676"/>
      <c r="E16" s="677"/>
      <c r="F16" s="672"/>
      <c r="G16" s="673"/>
      <c r="H16" s="673"/>
      <c r="I16" s="673"/>
      <c r="J16" s="673"/>
      <c r="K16" s="673"/>
      <c r="L16" s="673"/>
      <c r="M16" s="673"/>
      <c r="N16" s="673"/>
      <c r="O16" s="673"/>
      <c r="P16" s="673"/>
      <c r="Q16" s="673"/>
      <c r="R16" s="692">
        <f t="shared" si="1"/>
        <v>0</v>
      </c>
    </row>
    <row r="17" spans="1:18" s="666" customFormat="1" outlineLevel="1">
      <c r="A17" s="693" t="s">
        <v>256</v>
      </c>
      <c r="B17" s="694"/>
      <c r="C17" s="695"/>
      <c r="D17" s="696"/>
      <c r="E17" s="697"/>
      <c r="F17" s="698" t="e">
        <f t="shared" ref="F17:Q17" si="2">(F7+G7)/2*F$4</f>
        <v>#REF!</v>
      </c>
      <c r="G17" s="698" t="e">
        <f t="shared" si="2"/>
        <v>#REF!</v>
      </c>
      <c r="H17" s="698" t="e">
        <f t="shared" si="2"/>
        <v>#REF!</v>
      </c>
      <c r="I17" s="698" t="e">
        <f t="shared" si="2"/>
        <v>#REF!</v>
      </c>
      <c r="J17" s="698" t="e">
        <f t="shared" si="2"/>
        <v>#REF!</v>
      </c>
      <c r="K17" s="698" t="e">
        <f t="shared" si="2"/>
        <v>#REF!</v>
      </c>
      <c r="L17" s="698" t="e">
        <f t="shared" si="2"/>
        <v>#REF!</v>
      </c>
      <c r="M17" s="698" t="e">
        <f t="shared" si="2"/>
        <v>#REF!</v>
      </c>
      <c r="N17" s="698" t="e">
        <f t="shared" si="2"/>
        <v>#REF!</v>
      </c>
      <c r="O17" s="698" t="e">
        <f t="shared" si="2"/>
        <v>#REF!</v>
      </c>
      <c r="P17" s="698" t="e">
        <f t="shared" si="2"/>
        <v>#REF!</v>
      </c>
      <c r="Q17" s="698" t="e">
        <f t="shared" si="2"/>
        <v>#REF!</v>
      </c>
      <c r="R17" s="699" t="e">
        <f t="shared" si="1"/>
        <v>#REF!</v>
      </c>
    </row>
    <row r="18" spans="1:18" s="666" customFormat="1" ht="12.75" outlineLevel="1" thickBot="1">
      <c r="A18" s="700" t="s">
        <v>257</v>
      </c>
      <c r="B18" s="701"/>
      <c r="C18" s="701"/>
      <c r="D18" s="702"/>
      <c r="E18" s="703"/>
      <c r="F18" s="704" t="e">
        <f>F17/F$4</f>
        <v>#REF!</v>
      </c>
      <c r="G18" s="705" t="e">
        <f t="shared" ref="G18:Q18" si="3">G17/G$4</f>
        <v>#REF!</v>
      </c>
      <c r="H18" s="705" t="e">
        <f t="shared" si="3"/>
        <v>#REF!</v>
      </c>
      <c r="I18" s="705" t="e">
        <f t="shared" si="3"/>
        <v>#REF!</v>
      </c>
      <c r="J18" s="705" t="e">
        <f t="shared" si="3"/>
        <v>#REF!</v>
      </c>
      <c r="K18" s="705" t="e">
        <f t="shared" si="3"/>
        <v>#REF!</v>
      </c>
      <c r="L18" s="705" t="e">
        <f t="shared" si="3"/>
        <v>#REF!</v>
      </c>
      <c r="M18" s="705" t="e">
        <f t="shared" si="3"/>
        <v>#REF!</v>
      </c>
      <c r="N18" s="705" t="e">
        <f t="shared" si="3"/>
        <v>#REF!</v>
      </c>
      <c r="O18" s="705" t="e">
        <f t="shared" si="3"/>
        <v>#REF!</v>
      </c>
      <c r="P18" s="705" t="e">
        <f t="shared" si="3"/>
        <v>#REF!</v>
      </c>
      <c r="Q18" s="705" t="e">
        <f t="shared" si="3"/>
        <v>#REF!</v>
      </c>
      <c r="R18" s="706" t="e">
        <f>R17/R$4</f>
        <v>#REF!</v>
      </c>
    </row>
    <row r="19" spans="1:18" s="641" customFormat="1" ht="12.75" thickBot="1">
      <c r="A19" s="650" t="s">
        <v>258</v>
      </c>
      <c r="B19" s="651"/>
      <c r="C19" s="651"/>
      <c r="D19" s="652"/>
      <c r="E19" s="652"/>
      <c r="F19" s="651"/>
      <c r="G19" s="651"/>
      <c r="H19" s="651"/>
      <c r="I19" s="651"/>
      <c r="J19" s="651"/>
      <c r="K19" s="651"/>
      <c r="L19" s="651"/>
      <c r="M19" s="651"/>
      <c r="N19" s="651"/>
      <c r="O19" s="651"/>
      <c r="P19" s="651"/>
      <c r="Q19" s="651"/>
      <c r="R19" s="653"/>
    </row>
    <row r="20" spans="1:18" s="641" customFormat="1" ht="12.75" outlineLevel="1" thickBot="1">
      <c r="A20" s="654" t="s">
        <v>245</v>
      </c>
      <c r="B20" s="655"/>
      <c r="C20" s="655"/>
      <c r="D20" s="656"/>
      <c r="E20" s="657"/>
      <c r="F20" s="655"/>
      <c r="G20" s="655"/>
      <c r="H20" s="655"/>
      <c r="I20" s="655"/>
      <c r="J20" s="655"/>
      <c r="K20" s="655"/>
      <c r="L20" s="655"/>
      <c r="M20" s="655"/>
      <c r="N20" s="655"/>
      <c r="O20" s="655"/>
      <c r="P20" s="655"/>
      <c r="Q20" s="655"/>
      <c r="R20" s="658"/>
    </row>
    <row r="21" spans="1:18" s="666" customFormat="1" outlineLevel="1">
      <c r="A21" s="659" t="s">
        <v>259</v>
      </c>
      <c r="B21" s="707" t="e">
        <f>'КРМД-24'!R21</f>
        <v>#REF!</v>
      </c>
      <c r="C21" s="707"/>
      <c r="D21" s="708" t="e">
        <f>+B21*0.55</f>
        <v>#REF!</v>
      </c>
      <c r="E21" s="662" t="e">
        <f>B21*90</f>
        <v>#REF!</v>
      </c>
      <c r="F21" s="663" t="e">
        <f>B21</f>
        <v>#REF!</v>
      </c>
      <c r="G21" s="709" t="e">
        <f t="shared" ref="G21:Q21" si="4">(F21+F22+F23+F24-F26-F27-F28-F29-F30)</f>
        <v>#REF!</v>
      </c>
      <c r="H21" s="709" t="e">
        <f t="shared" si="4"/>
        <v>#REF!</v>
      </c>
      <c r="I21" s="709" t="e">
        <f t="shared" si="4"/>
        <v>#REF!</v>
      </c>
      <c r="J21" s="709" t="e">
        <f t="shared" si="4"/>
        <v>#REF!</v>
      </c>
      <c r="K21" s="709" t="e">
        <f t="shared" si="4"/>
        <v>#REF!</v>
      </c>
      <c r="L21" s="709" t="e">
        <f t="shared" si="4"/>
        <v>#REF!</v>
      </c>
      <c r="M21" s="709" t="e">
        <f t="shared" si="4"/>
        <v>#REF!</v>
      </c>
      <c r="N21" s="709" t="e">
        <f t="shared" si="4"/>
        <v>#REF!</v>
      </c>
      <c r="O21" s="709" t="e">
        <f t="shared" si="4"/>
        <v>#REF!</v>
      </c>
      <c r="P21" s="709" t="e">
        <f t="shared" si="4"/>
        <v>#REF!</v>
      </c>
      <c r="Q21" s="664" t="e">
        <f t="shared" si="4"/>
        <v>#REF!</v>
      </c>
      <c r="R21" s="665" t="e">
        <f>(Q21+Q22+Q23+Q24-Q26-Q27-Q28-Q29-Q30)</f>
        <v>#REF!</v>
      </c>
    </row>
    <row r="22" spans="1:18" s="666" customFormat="1" outlineLevel="1">
      <c r="A22" s="710" t="s">
        <v>247</v>
      </c>
      <c r="B22" s="668"/>
      <c r="C22" s="669"/>
      <c r="D22" s="670"/>
      <c r="E22" s="671"/>
      <c r="F22" s="711">
        <f>F124</f>
        <v>0</v>
      </c>
      <c r="G22" s="712">
        <f t="shared" ref="G22:Q22" si="5">G124</f>
        <v>0</v>
      </c>
      <c r="H22" s="712">
        <f t="shared" si="5"/>
        <v>0</v>
      </c>
      <c r="I22" s="712">
        <f t="shared" si="5"/>
        <v>0</v>
      </c>
      <c r="J22" s="712">
        <f t="shared" si="5"/>
        <v>0</v>
      </c>
      <c r="K22" s="712">
        <f t="shared" si="5"/>
        <v>0</v>
      </c>
      <c r="L22" s="712">
        <f t="shared" si="5"/>
        <v>0</v>
      </c>
      <c r="M22" s="712">
        <f t="shared" si="5"/>
        <v>0</v>
      </c>
      <c r="N22" s="712">
        <f t="shared" si="5"/>
        <v>0</v>
      </c>
      <c r="O22" s="712">
        <f t="shared" si="5"/>
        <v>0</v>
      </c>
      <c r="P22" s="712">
        <f t="shared" si="5"/>
        <v>0</v>
      </c>
      <c r="Q22" s="713">
        <f t="shared" si="5"/>
        <v>0</v>
      </c>
      <c r="R22" s="674">
        <f t="shared" ref="R22:R31" si="6">SUM(F22:Q22)</f>
        <v>0</v>
      </c>
    </row>
    <row r="23" spans="1:18" s="666" customFormat="1" outlineLevel="1">
      <c r="A23" s="710" t="s">
        <v>248</v>
      </c>
      <c r="B23" s="675"/>
      <c r="C23" s="676"/>
      <c r="D23" s="676"/>
      <c r="E23" s="677"/>
      <c r="F23" s="711"/>
      <c r="G23" s="712"/>
      <c r="H23" s="712"/>
      <c r="I23" s="712"/>
      <c r="J23" s="712"/>
      <c r="K23" s="712"/>
      <c r="L23" s="712"/>
      <c r="M23" s="712"/>
      <c r="N23" s="712"/>
      <c r="O23" s="712"/>
      <c r="P23" s="712"/>
      <c r="Q23" s="713"/>
      <c r="R23" s="674">
        <f t="shared" si="6"/>
        <v>0</v>
      </c>
    </row>
    <row r="24" spans="1:18" s="666" customFormat="1" ht="12.75" outlineLevel="1" thickBot="1">
      <c r="A24" s="714" t="s">
        <v>249</v>
      </c>
      <c r="B24" s="675"/>
      <c r="C24" s="676"/>
      <c r="D24" s="676"/>
      <c r="E24" s="677"/>
      <c r="F24" s="679"/>
      <c r="G24" s="687"/>
      <c r="H24" s="687"/>
      <c r="I24" s="687"/>
      <c r="J24" s="687"/>
      <c r="K24" s="687"/>
      <c r="L24" s="687"/>
      <c r="M24" s="687"/>
      <c r="N24" s="687"/>
      <c r="O24" s="687"/>
      <c r="P24" s="687"/>
      <c r="Q24" s="680"/>
      <c r="R24" s="681">
        <f t="shared" si="6"/>
        <v>0</v>
      </c>
    </row>
    <row r="25" spans="1:18" s="641" customFormat="1" ht="12.75" outlineLevel="1" thickBot="1">
      <c r="A25" s="715" t="s">
        <v>250</v>
      </c>
      <c r="B25" s="675"/>
      <c r="C25" s="676"/>
      <c r="D25" s="676"/>
      <c r="E25" s="677"/>
      <c r="F25" s="716"/>
      <c r="G25" s="717"/>
      <c r="H25" s="717"/>
      <c r="I25" s="717"/>
      <c r="J25" s="717"/>
      <c r="K25" s="717"/>
      <c r="L25" s="717"/>
      <c r="M25" s="717"/>
      <c r="N25" s="717"/>
      <c r="O25" s="717"/>
      <c r="P25" s="717"/>
      <c r="Q25" s="717"/>
      <c r="R25" s="684">
        <f t="shared" si="6"/>
        <v>0</v>
      </c>
    </row>
    <row r="26" spans="1:18" s="666" customFormat="1" outlineLevel="1">
      <c r="A26" s="718" t="s">
        <v>251</v>
      </c>
      <c r="B26" s="675"/>
      <c r="C26" s="676"/>
      <c r="D26" s="676"/>
      <c r="E26" s="677"/>
      <c r="F26" s="719"/>
      <c r="G26" s="720"/>
      <c r="H26" s="720"/>
      <c r="I26" s="720"/>
      <c r="J26" s="720"/>
      <c r="K26" s="720"/>
      <c r="L26" s="720"/>
      <c r="M26" s="720"/>
      <c r="N26" s="720"/>
      <c r="O26" s="720"/>
      <c r="P26" s="720"/>
      <c r="Q26" s="721"/>
      <c r="R26" s="689">
        <f t="shared" si="6"/>
        <v>0</v>
      </c>
    </row>
    <row r="27" spans="1:18" s="666" customFormat="1" ht="22.5" customHeight="1" outlineLevel="1">
      <c r="A27" s="722" t="s">
        <v>252</v>
      </c>
      <c r="B27" s="675"/>
      <c r="C27" s="676"/>
      <c r="D27" s="676"/>
      <c r="E27" s="676"/>
      <c r="F27" s="723"/>
      <c r="G27" s="691"/>
      <c r="H27" s="691"/>
      <c r="I27" s="691"/>
      <c r="J27" s="691"/>
      <c r="K27" s="691"/>
      <c r="L27" s="691"/>
      <c r="M27" s="691"/>
      <c r="N27" s="691"/>
      <c r="O27" s="691"/>
      <c r="P27" s="691"/>
      <c r="Q27" s="691"/>
      <c r="R27" s="692">
        <f t="shared" si="6"/>
        <v>0</v>
      </c>
    </row>
    <row r="28" spans="1:18" s="666" customFormat="1" outlineLevel="1">
      <c r="A28" s="722" t="s">
        <v>253</v>
      </c>
      <c r="B28" s="675"/>
      <c r="C28" s="676"/>
      <c r="D28" s="676"/>
      <c r="E28" s="676"/>
      <c r="F28" s="723"/>
      <c r="G28" s="691"/>
      <c r="H28" s="691"/>
      <c r="I28" s="691"/>
      <c r="J28" s="691"/>
      <c r="K28" s="691"/>
      <c r="L28" s="691"/>
      <c r="M28" s="691"/>
      <c r="N28" s="691"/>
      <c r="O28" s="691"/>
      <c r="P28" s="691"/>
      <c r="Q28" s="691"/>
      <c r="R28" s="692">
        <f t="shared" si="6"/>
        <v>0</v>
      </c>
    </row>
    <row r="29" spans="1:18" s="666" customFormat="1" outlineLevel="1">
      <c r="A29" s="722" t="s">
        <v>254</v>
      </c>
      <c r="B29" s="675"/>
      <c r="C29" s="676"/>
      <c r="D29" s="676"/>
      <c r="E29" s="676"/>
      <c r="F29" s="723"/>
      <c r="G29" s="691"/>
      <c r="H29" s="691"/>
      <c r="I29" s="691"/>
      <c r="J29" s="691"/>
      <c r="K29" s="691"/>
      <c r="L29" s="691"/>
      <c r="M29" s="691"/>
      <c r="N29" s="691"/>
      <c r="O29" s="691"/>
      <c r="P29" s="691"/>
      <c r="Q29" s="691"/>
      <c r="R29" s="692">
        <f t="shared" si="6"/>
        <v>0</v>
      </c>
    </row>
    <row r="30" spans="1:18" s="666" customFormat="1" outlineLevel="1">
      <c r="A30" s="722" t="s">
        <v>255</v>
      </c>
      <c r="B30" s="675"/>
      <c r="C30" s="676"/>
      <c r="D30" s="676"/>
      <c r="E30" s="677"/>
      <c r="F30" s="724"/>
      <c r="G30" s="688"/>
      <c r="H30" s="688"/>
      <c r="I30" s="688"/>
      <c r="J30" s="688"/>
      <c r="K30" s="688"/>
      <c r="L30" s="688"/>
      <c r="M30" s="688"/>
      <c r="N30" s="688"/>
      <c r="O30" s="688"/>
      <c r="P30" s="688"/>
      <c r="Q30" s="688"/>
      <c r="R30" s="674">
        <f t="shared" si="6"/>
        <v>0</v>
      </c>
    </row>
    <row r="31" spans="1:18" outlineLevel="1">
      <c r="A31" s="725" t="s">
        <v>256</v>
      </c>
      <c r="B31" s="694"/>
      <c r="C31" s="695"/>
      <c r="D31" s="696"/>
      <c r="E31" s="697"/>
      <c r="F31" s="726" t="e">
        <f t="shared" ref="F31:Q31" si="7">(F21+G21)/2*F$4</f>
        <v>#REF!</v>
      </c>
      <c r="G31" s="698" t="e">
        <f t="shared" si="7"/>
        <v>#REF!</v>
      </c>
      <c r="H31" s="698" t="e">
        <f t="shared" si="7"/>
        <v>#REF!</v>
      </c>
      <c r="I31" s="698" t="e">
        <f t="shared" si="7"/>
        <v>#REF!</v>
      </c>
      <c r="J31" s="698" t="e">
        <f t="shared" si="7"/>
        <v>#REF!</v>
      </c>
      <c r="K31" s="698" t="e">
        <f t="shared" si="7"/>
        <v>#REF!</v>
      </c>
      <c r="L31" s="698" t="e">
        <f t="shared" si="7"/>
        <v>#REF!</v>
      </c>
      <c r="M31" s="698" t="e">
        <f t="shared" si="7"/>
        <v>#REF!</v>
      </c>
      <c r="N31" s="698" t="e">
        <f t="shared" si="7"/>
        <v>#REF!</v>
      </c>
      <c r="O31" s="698" t="e">
        <f t="shared" si="7"/>
        <v>#REF!</v>
      </c>
      <c r="P31" s="698" t="e">
        <f t="shared" si="7"/>
        <v>#REF!</v>
      </c>
      <c r="Q31" s="698" t="e">
        <f t="shared" si="7"/>
        <v>#REF!</v>
      </c>
      <c r="R31" s="699" t="e">
        <f t="shared" si="6"/>
        <v>#REF!</v>
      </c>
    </row>
    <row r="32" spans="1:18" s="666" customFormat="1" ht="12.75" outlineLevel="1" thickBot="1">
      <c r="A32" s="700" t="s">
        <v>257</v>
      </c>
      <c r="B32" s="728"/>
      <c r="C32" s="728"/>
      <c r="D32" s="729"/>
      <c r="E32" s="730"/>
      <c r="F32" s="731" t="e">
        <f t="shared" ref="F32:Q32" si="8">F31/F$4</f>
        <v>#REF!</v>
      </c>
      <c r="G32" s="732" t="e">
        <f t="shared" si="8"/>
        <v>#REF!</v>
      </c>
      <c r="H32" s="732" t="e">
        <f t="shared" si="8"/>
        <v>#REF!</v>
      </c>
      <c r="I32" s="732" t="e">
        <f t="shared" si="8"/>
        <v>#REF!</v>
      </c>
      <c r="J32" s="732" t="e">
        <f t="shared" si="8"/>
        <v>#REF!</v>
      </c>
      <c r="K32" s="732" t="e">
        <f t="shared" si="8"/>
        <v>#REF!</v>
      </c>
      <c r="L32" s="732" t="e">
        <f t="shared" si="8"/>
        <v>#REF!</v>
      </c>
      <c r="M32" s="732" t="e">
        <f t="shared" si="8"/>
        <v>#REF!</v>
      </c>
      <c r="N32" s="732" t="e">
        <f t="shared" si="8"/>
        <v>#REF!</v>
      </c>
      <c r="O32" s="732" t="e">
        <f t="shared" si="8"/>
        <v>#REF!</v>
      </c>
      <c r="P32" s="732" t="e">
        <f t="shared" si="8"/>
        <v>#REF!</v>
      </c>
      <c r="Q32" s="732" t="e">
        <f t="shared" si="8"/>
        <v>#REF!</v>
      </c>
      <c r="R32" s="706" t="e">
        <f>R31/R$4</f>
        <v>#REF!</v>
      </c>
    </row>
    <row r="33" spans="1:18" s="641" customFormat="1" ht="12.75" thickBot="1">
      <c r="A33" s="650" t="s">
        <v>260</v>
      </c>
      <c r="B33" s="651"/>
      <c r="C33" s="651"/>
      <c r="D33" s="652"/>
      <c r="E33" s="652"/>
      <c r="F33" s="733"/>
      <c r="G33" s="733"/>
      <c r="H33" s="733"/>
      <c r="I33" s="733"/>
      <c r="J33" s="733"/>
      <c r="K33" s="733"/>
      <c r="L33" s="733"/>
      <c r="M33" s="733"/>
      <c r="N33" s="733"/>
      <c r="O33" s="733"/>
      <c r="P33" s="733"/>
      <c r="Q33" s="733"/>
      <c r="R33" s="653"/>
    </row>
    <row r="34" spans="1:18" s="641" customFormat="1" ht="12.75" outlineLevel="1" thickBot="1">
      <c r="A34" s="654" t="s">
        <v>245</v>
      </c>
      <c r="B34" s="655"/>
      <c r="C34" s="655"/>
      <c r="D34" s="656"/>
      <c r="E34" s="657"/>
      <c r="F34" s="717"/>
      <c r="G34" s="717"/>
      <c r="H34" s="717"/>
      <c r="I34" s="717"/>
      <c r="J34" s="717"/>
      <c r="K34" s="717"/>
      <c r="L34" s="717"/>
      <c r="M34" s="717"/>
      <c r="N34" s="717"/>
      <c r="O34" s="717"/>
      <c r="P34" s="717"/>
      <c r="Q34" s="717"/>
      <c r="R34" s="658"/>
    </row>
    <row r="35" spans="1:18" s="666" customFormat="1" outlineLevel="1">
      <c r="A35" s="659" t="s">
        <v>246</v>
      </c>
      <c r="B35" s="660" t="e">
        <f>'КРМД-24'!R35</f>
        <v>#REF!</v>
      </c>
      <c r="C35" s="660" t="e">
        <f>B35</f>
        <v>#REF!</v>
      </c>
      <c r="D35" s="708" t="e">
        <f>+B35*0.41</f>
        <v>#REF!</v>
      </c>
      <c r="E35" s="662" t="e">
        <f>B35*70</f>
        <v>#REF!</v>
      </c>
      <c r="F35" s="734" t="e">
        <f>B35</f>
        <v>#REF!</v>
      </c>
      <c r="G35" s="735" t="e">
        <f t="shared" ref="G35:Q35" si="9">(F35+F36+F37+F38-F40-F41-F42-F43-F44)</f>
        <v>#REF!</v>
      </c>
      <c r="H35" s="735" t="e">
        <f t="shared" si="9"/>
        <v>#REF!</v>
      </c>
      <c r="I35" s="735" t="e">
        <f t="shared" si="9"/>
        <v>#REF!</v>
      </c>
      <c r="J35" s="735" t="e">
        <f t="shared" si="9"/>
        <v>#REF!</v>
      </c>
      <c r="K35" s="735" t="e">
        <f t="shared" si="9"/>
        <v>#REF!</v>
      </c>
      <c r="L35" s="735" t="e">
        <f t="shared" si="9"/>
        <v>#REF!</v>
      </c>
      <c r="M35" s="735" t="e">
        <f t="shared" si="9"/>
        <v>#REF!</v>
      </c>
      <c r="N35" s="735" t="e">
        <f t="shared" si="9"/>
        <v>#REF!</v>
      </c>
      <c r="O35" s="735" t="e">
        <f t="shared" si="9"/>
        <v>#REF!</v>
      </c>
      <c r="P35" s="735" t="e">
        <f t="shared" si="9"/>
        <v>#REF!</v>
      </c>
      <c r="Q35" s="736" t="e">
        <f t="shared" si="9"/>
        <v>#REF!</v>
      </c>
      <c r="R35" s="665" t="e">
        <f>(Q35+Q36+Q37+Q38-Q40-Q41-Q42-Q43-Q44)</f>
        <v>#REF!</v>
      </c>
    </row>
    <row r="36" spans="1:18" s="666" customFormat="1" outlineLevel="1">
      <c r="A36" s="667" t="s">
        <v>247</v>
      </c>
      <c r="B36" s="668"/>
      <c r="C36" s="669"/>
      <c r="D36" s="670"/>
      <c r="E36" s="671"/>
      <c r="F36" s="737">
        <f>F68</f>
        <v>0</v>
      </c>
      <c r="G36" s="712">
        <f t="shared" ref="G36:Q36" si="10">G68</f>
        <v>0</v>
      </c>
      <c r="H36" s="712" t="e">
        <f t="shared" si="10"/>
        <v>#REF!</v>
      </c>
      <c r="I36" s="712">
        <f t="shared" si="10"/>
        <v>0</v>
      </c>
      <c r="J36" s="712">
        <f t="shared" si="10"/>
        <v>0</v>
      </c>
      <c r="K36" s="712">
        <f t="shared" si="10"/>
        <v>0</v>
      </c>
      <c r="L36" s="712">
        <f t="shared" si="10"/>
        <v>0</v>
      </c>
      <c r="M36" s="712">
        <f t="shared" si="10"/>
        <v>0</v>
      </c>
      <c r="N36" s="712">
        <f t="shared" si="10"/>
        <v>0</v>
      </c>
      <c r="O36" s="712">
        <f t="shared" si="10"/>
        <v>0</v>
      </c>
      <c r="P36" s="712">
        <f t="shared" si="10"/>
        <v>0</v>
      </c>
      <c r="Q36" s="713">
        <f t="shared" si="10"/>
        <v>0</v>
      </c>
      <c r="R36" s="674" t="e">
        <f>SUM(F36:Q36)</f>
        <v>#REF!</v>
      </c>
    </row>
    <row r="37" spans="1:18" s="666" customFormat="1" outlineLevel="1">
      <c r="A37" s="667" t="s">
        <v>248</v>
      </c>
      <c r="B37" s="675"/>
      <c r="C37" s="676"/>
      <c r="D37" s="676"/>
      <c r="E37" s="677"/>
      <c r="F37" s="738"/>
      <c r="G37" s="688"/>
      <c r="H37" s="688"/>
      <c r="I37" s="688"/>
      <c r="J37" s="688"/>
      <c r="K37" s="688"/>
      <c r="L37" s="688"/>
      <c r="M37" s="688"/>
      <c r="N37" s="688"/>
      <c r="O37" s="688"/>
      <c r="P37" s="688"/>
      <c r="Q37" s="673"/>
      <c r="R37" s="674">
        <f>SUM(F37:Q37)</f>
        <v>0</v>
      </c>
    </row>
    <row r="38" spans="1:18" s="666" customFormat="1" ht="12.75" outlineLevel="1" thickBot="1">
      <c r="A38" s="678" t="s">
        <v>249</v>
      </c>
      <c r="B38" s="675"/>
      <c r="C38" s="676"/>
      <c r="D38" s="676"/>
      <c r="E38" s="677"/>
      <c r="F38" s="739"/>
      <c r="G38" s="680"/>
      <c r="H38" s="680"/>
      <c r="I38" s="680"/>
      <c r="J38" s="680"/>
      <c r="K38" s="680"/>
      <c r="L38" s="680"/>
      <c r="M38" s="680"/>
      <c r="N38" s="680"/>
      <c r="O38" s="680"/>
      <c r="P38" s="680"/>
      <c r="Q38" s="680"/>
      <c r="R38" s="681">
        <f>SUM(F38:Q38)</f>
        <v>0</v>
      </c>
    </row>
    <row r="39" spans="1:18" s="641" customFormat="1" ht="12.75" outlineLevel="1" thickBot="1">
      <c r="A39" s="682" t="s">
        <v>250</v>
      </c>
      <c r="B39" s="675"/>
      <c r="C39" s="676"/>
      <c r="D39" s="676"/>
      <c r="E39" s="677"/>
      <c r="F39" s="740"/>
      <c r="G39" s="655"/>
      <c r="H39" s="655"/>
      <c r="I39" s="655"/>
      <c r="J39" s="655"/>
      <c r="K39" s="655"/>
      <c r="L39" s="655"/>
      <c r="M39" s="655"/>
      <c r="N39" s="655"/>
      <c r="O39" s="655"/>
      <c r="P39" s="655"/>
      <c r="Q39" s="655"/>
      <c r="R39" s="684"/>
    </row>
    <row r="40" spans="1:18" s="666" customFormat="1" outlineLevel="1">
      <c r="A40" s="685" t="s">
        <v>251</v>
      </c>
      <c r="B40" s="675"/>
      <c r="C40" s="676"/>
      <c r="D40" s="676"/>
      <c r="E40" s="677"/>
      <c r="F40" s="741"/>
      <c r="G40" s="687"/>
      <c r="H40" s="687"/>
      <c r="I40" s="687"/>
      <c r="J40" s="687"/>
      <c r="K40" s="687"/>
      <c r="L40" s="687"/>
      <c r="M40" s="687"/>
      <c r="N40" s="687"/>
      <c r="O40" s="687"/>
      <c r="P40" s="687"/>
      <c r="Q40" s="688"/>
      <c r="R40" s="689">
        <f t="shared" ref="R40:R45" si="11">SUM(F40:Q40)</f>
        <v>0</v>
      </c>
    </row>
    <row r="41" spans="1:18" s="666" customFormat="1" ht="22.5" customHeight="1" outlineLevel="1">
      <c r="A41" s="690" t="s">
        <v>252</v>
      </c>
      <c r="B41" s="675"/>
      <c r="C41" s="676"/>
      <c r="D41" s="676"/>
      <c r="E41" s="676"/>
      <c r="F41" s="723"/>
      <c r="G41" s="691"/>
      <c r="H41" s="691"/>
      <c r="I41" s="691"/>
      <c r="J41" s="691"/>
      <c r="K41" s="691"/>
      <c r="L41" s="691"/>
      <c r="M41" s="691"/>
      <c r="N41" s="691"/>
      <c r="O41" s="691"/>
      <c r="P41" s="691"/>
      <c r="Q41" s="691"/>
      <c r="R41" s="692">
        <f t="shared" si="11"/>
        <v>0</v>
      </c>
    </row>
    <row r="42" spans="1:18" s="666" customFormat="1" outlineLevel="1">
      <c r="A42" s="690" t="s">
        <v>253</v>
      </c>
      <c r="B42" s="675"/>
      <c r="C42" s="676"/>
      <c r="D42" s="676"/>
      <c r="E42" s="676"/>
      <c r="F42" s="723"/>
      <c r="G42" s="691"/>
      <c r="H42" s="691"/>
      <c r="I42" s="691"/>
      <c r="J42" s="691"/>
      <c r="K42" s="691"/>
      <c r="L42" s="691"/>
      <c r="M42" s="691"/>
      <c r="N42" s="691"/>
      <c r="O42" s="691"/>
      <c r="P42" s="691"/>
      <c r="Q42" s="691"/>
      <c r="R42" s="692">
        <f t="shared" si="11"/>
        <v>0</v>
      </c>
    </row>
    <row r="43" spans="1:18" s="666" customFormat="1" outlineLevel="1">
      <c r="A43" s="690" t="s">
        <v>254</v>
      </c>
      <c r="B43" s="675"/>
      <c r="C43" s="676"/>
      <c r="D43" s="676"/>
      <c r="E43" s="676"/>
      <c r="F43" s="723"/>
      <c r="G43" s="691"/>
      <c r="H43" s="691"/>
      <c r="I43" s="691"/>
      <c r="J43" s="691"/>
      <c r="K43" s="691"/>
      <c r="L43" s="691"/>
      <c r="M43" s="691"/>
      <c r="N43" s="691"/>
      <c r="O43" s="691"/>
      <c r="P43" s="691"/>
      <c r="Q43" s="691"/>
      <c r="R43" s="692">
        <f t="shared" si="11"/>
        <v>0</v>
      </c>
    </row>
    <row r="44" spans="1:18" s="666" customFormat="1" outlineLevel="1">
      <c r="A44" s="690" t="s">
        <v>255</v>
      </c>
      <c r="B44" s="675"/>
      <c r="C44" s="676"/>
      <c r="D44" s="676"/>
      <c r="E44" s="677"/>
      <c r="F44" s="738"/>
      <c r="G44" s="673"/>
      <c r="H44" s="673"/>
      <c r="I44" s="673"/>
      <c r="J44" s="673"/>
      <c r="K44" s="673"/>
      <c r="L44" s="673"/>
      <c r="M44" s="673"/>
      <c r="N44" s="673"/>
      <c r="O44" s="673"/>
      <c r="P44" s="673"/>
      <c r="Q44" s="673"/>
      <c r="R44" s="692">
        <f t="shared" si="11"/>
        <v>0</v>
      </c>
    </row>
    <row r="45" spans="1:18" s="666" customFormat="1" outlineLevel="1">
      <c r="A45" s="693" t="s">
        <v>256</v>
      </c>
      <c r="B45" s="694"/>
      <c r="C45" s="695"/>
      <c r="D45" s="696"/>
      <c r="E45" s="697"/>
      <c r="F45" s="726" t="e">
        <f t="shared" ref="F45:Q45" si="12">(F35+G35)/2*F$4</f>
        <v>#REF!</v>
      </c>
      <c r="G45" s="698" t="e">
        <f t="shared" si="12"/>
        <v>#REF!</v>
      </c>
      <c r="H45" s="698" t="e">
        <f t="shared" si="12"/>
        <v>#REF!</v>
      </c>
      <c r="I45" s="698" t="e">
        <f t="shared" si="12"/>
        <v>#REF!</v>
      </c>
      <c r="J45" s="698" t="e">
        <f t="shared" si="12"/>
        <v>#REF!</v>
      </c>
      <c r="K45" s="698" t="e">
        <f t="shared" si="12"/>
        <v>#REF!</v>
      </c>
      <c r="L45" s="698" t="e">
        <f t="shared" si="12"/>
        <v>#REF!</v>
      </c>
      <c r="M45" s="698" t="e">
        <f t="shared" si="12"/>
        <v>#REF!</v>
      </c>
      <c r="N45" s="698" t="e">
        <f t="shared" si="12"/>
        <v>#REF!</v>
      </c>
      <c r="O45" s="698" t="e">
        <f t="shared" si="12"/>
        <v>#REF!</v>
      </c>
      <c r="P45" s="698" t="e">
        <f t="shared" si="12"/>
        <v>#REF!</v>
      </c>
      <c r="Q45" s="698" t="e">
        <f t="shared" si="12"/>
        <v>#REF!</v>
      </c>
      <c r="R45" s="699" t="e">
        <f t="shared" si="11"/>
        <v>#REF!</v>
      </c>
    </row>
    <row r="46" spans="1:18" s="666" customFormat="1" ht="12.75" outlineLevel="1" thickBot="1">
      <c r="A46" s="700" t="s">
        <v>257</v>
      </c>
      <c r="B46" s="701"/>
      <c r="C46" s="701"/>
      <c r="D46" s="702"/>
      <c r="E46" s="703"/>
      <c r="F46" s="731" t="e">
        <f t="shared" ref="F46:Q46" si="13">F45/F$4</f>
        <v>#REF!</v>
      </c>
      <c r="G46" s="732" t="e">
        <f>G45/G$4</f>
        <v>#REF!</v>
      </c>
      <c r="H46" s="732" t="e">
        <f t="shared" si="13"/>
        <v>#REF!</v>
      </c>
      <c r="I46" s="732" t="e">
        <f t="shared" si="13"/>
        <v>#REF!</v>
      </c>
      <c r="J46" s="732" t="e">
        <f t="shared" si="13"/>
        <v>#REF!</v>
      </c>
      <c r="K46" s="732" t="e">
        <f t="shared" si="13"/>
        <v>#REF!</v>
      </c>
      <c r="L46" s="732" t="e">
        <f t="shared" si="13"/>
        <v>#REF!</v>
      </c>
      <c r="M46" s="732" t="e">
        <f t="shared" si="13"/>
        <v>#REF!</v>
      </c>
      <c r="N46" s="732" t="e">
        <f t="shared" si="13"/>
        <v>#REF!</v>
      </c>
      <c r="O46" s="732" t="e">
        <f t="shared" si="13"/>
        <v>#REF!</v>
      </c>
      <c r="P46" s="732" t="e">
        <f t="shared" si="13"/>
        <v>#REF!</v>
      </c>
      <c r="Q46" s="732" t="e">
        <f t="shared" si="13"/>
        <v>#REF!</v>
      </c>
      <c r="R46" s="706" t="e">
        <f>R45/R$4</f>
        <v>#REF!</v>
      </c>
    </row>
    <row r="47" spans="1:18" s="641" customFormat="1" ht="12.75" thickBot="1">
      <c r="A47" s="650" t="s">
        <v>261</v>
      </c>
      <c r="B47" s="651"/>
      <c r="C47" s="651"/>
      <c r="D47" s="652"/>
      <c r="E47" s="652"/>
      <c r="F47" s="733"/>
      <c r="G47" s="733"/>
      <c r="H47" s="733"/>
      <c r="I47" s="733"/>
      <c r="J47" s="733"/>
      <c r="K47" s="733"/>
      <c r="L47" s="733"/>
      <c r="M47" s="733"/>
      <c r="N47" s="733"/>
      <c r="O47" s="733"/>
      <c r="P47" s="733"/>
      <c r="Q47" s="733"/>
      <c r="R47" s="653"/>
    </row>
    <row r="48" spans="1:18" s="641" customFormat="1" ht="12.75" outlineLevel="1" thickBot="1">
      <c r="A48" s="654" t="s">
        <v>245</v>
      </c>
      <c r="B48" s="655"/>
      <c r="C48" s="655"/>
      <c r="D48" s="656"/>
      <c r="E48" s="657"/>
      <c r="F48" s="655"/>
      <c r="G48" s="655"/>
      <c r="H48" s="655"/>
      <c r="I48" s="655"/>
      <c r="J48" s="655"/>
      <c r="K48" s="655"/>
      <c r="L48" s="655"/>
      <c r="M48" s="655"/>
      <c r="N48" s="655"/>
      <c r="O48" s="655"/>
      <c r="P48" s="655"/>
      <c r="Q48" s="655"/>
      <c r="R48" s="658"/>
    </row>
    <row r="49" spans="1:18" s="666" customFormat="1" outlineLevel="1">
      <c r="A49" s="659" t="s">
        <v>262</v>
      </c>
      <c r="B49" s="707" t="e">
        <f>'КРМД-24'!R49</f>
        <v>#REF!</v>
      </c>
      <c r="C49" s="660" t="e">
        <f>B49</f>
        <v>#REF!</v>
      </c>
      <c r="D49" s="708" t="e">
        <f>+B49*0.41</f>
        <v>#REF!</v>
      </c>
      <c r="E49" s="742"/>
      <c r="F49" s="663" t="e">
        <f>B49</f>
        <v>#REF!</v>
      </c>
      <c r="G49" s="664" t="e">
        <f t="shared" ref="G49:L49" si="14">(F49+F50+F51+F52-F54-F55-F56-F57-F58)</f>
        <v>#REF!</v>
      </c>
      <c r="H49" s="664" t="e">
        <f t="shared" si="14"/>
        <v>#REF!</v>
      </c>
      <c r="I49" s="664" t="e">
        <f t="shared" si="14"/>
        <v>#REF!</v>
      </c>
      <c r="J49" s="664" t="e">
        <f t="shared" si="14"/>
        <v>#REF!</v>
      </c>
      <c r="K49" s="664" t="e">
        <f t="shared" si="14"/>
        <v>#REF!</v>
      </c>
      <c r="L49" s="664" t="e">
        <f t="shared" si="14"/>
        <v>#REF!</v>
      </c>
      <c r="M49" s="664" t="e">
        <f>(L49+L50+L51+L52-L54-M55-L56-L57-L58)</f>
        <v>#REF!</v>
      </c>
      <c r="N49" s="664" t="e">
        <f>(M49+M50+M51+M52-M54-N55-M56-M57-M58)</f>
        <v>#REF!</v>
      </c>
      <c r="O49" s="664" t="e">
        <f>(N49+N50+N51+N52-N54-N55-N56-N57-N58)</f>
        <v>#REF!</v>
      </c>
      <c r="P49" s="664" t="e">
        <f>(O49+O50+O51+O52-O54-O55-O56-O57-O58)</f>
        <v>#REF!</v>
      </c>
      <c r="Q49" s="664" t="e">
        <f>(P49+P50+P51+P52-P54-P55-P56-P57-P58)</f>
        <v>#REF!</v>
      </c>
      <c r="R49" s="665" t="e">
        <f>(Q49+Q50+Q51+Q52-Q54-Q55-Q56-Q57-Q58)</f>
        <v>#REF!</v>
      </c>
    </row>
    <row r="50" spans="1:18" s="666" customFormat="1" outlineLevel="1">
      <c r="A50" s="710" t="s">
        <v>247</v>
      </c>
      <c r="B50" s="668"/>
      <c r="C50" s="669"/>
      <c r="D50" s="670"/>
      <c r="E50" s="671"/>
      <c r="F50" s="743">
        <f t="shared" ref="F50:Q50" si="15">F12+F40+F26</f>
        <v>0</v>
      </c>
      <c r="G50" s="691">
        <f t="shared" si="15"/>
        <v>0</v>
      </c>
      <c r="H50" s="691">
        <f t="shared" si="15"/>
        <v>0</v>
      </c>
      <c r="I50" s="691">
        <f t="shared" si="15"/>
        <v>0</v>
      </c>
      <c r="J50" s="691">
        <f t="shared" si="15"/>
        <v>0</v>
      </c>
      <c r="K50" s="691">
        <f t="shared" si="15"/>
        <v>0</v>
      </c>
      <c r="L50" s="691">
        <f t="shared" si="15"/>
        <v>0</v>
      </c>
      <c r="M50" s="691">
        <f t="shared" si="15"/>
        <v>0</v>
      </c>
      <c r="N50" s="691">
        <f t="shared" si="15"/>
        <v>0</v>
      </c>
      <c r="O50" s="691">
        <f t="shared" si="15"/>
        <v>0</v>
      </c>
      <c r="P50" s="691">
        <f t="shared" si="15"/>
        <v>0</v>
      </c>
      <c r="Q50" s="691">
        <f t="shared" si="15"/>
        <v>0</v>
      </c>
      <c r="R50" s="674">
        <f>SUM(F50:Q50)</f>
        <v>0</v>
      </c>
    </row>
    <row r="51" spans="1:18" s="666" customFormat="1" outlineLevel="1">
      <c r="A51" s="710" t="s">
        <v>248</v>
      </c>
      <c r="B51" s="675"/>
      <c r="C51" s="676"/>
      <c r="D51" s="676"/>
      <c r="E51" s="677"/>
      <c r="F51" s="672"/>
      <c r="G51" s="673"/>
      <c r="H51" s="673"/>
      <c r="I51" s="673"/>
      <c r="J51" s="673"/>
      <c r="K51" s="673"/>
      <c r="L51" s="673"/>
      <c r="M51" s="673"/>
      <c r="N51" s="673"/>
      <c r="O51" s="673"/>
      <c r="P51" s="673"/>
      <c r="Q51" s="673"/>
      <c r="R51" s="674">
        <f>SUM(F51:Q51)</f>
        <v>0</v>
      </c>
    </row>
    <row r="52" spans="1:18" s="666" customFormat="1" ht="12.75" outlineLevel="1" thickBot="1">
      <c r="A52" s="714" t="s">
        <v>249</v>
      </c>
      <c r="B52" s="675"/>
      <c r="C52" s="676"/>
      <c r="D52" s="676"/>
      <c r="E52" s="677"/>
      <c r="F52" s="679"/>
      <c r="G52" s="680"/>
      <c r="H52" s="680"/>
      <c r="I52" s="680"/>
      <c r="J52" s="680"/>
      <c r="K52" s="680"/>
      <c r="L52" s="680"/>
      <c r="M52" s="680"/>
      <c r="N52" s="680"/>
      <c r="O52" s="680"/>
      <c r="P52" s="680"/>
      <c r="Q52" s="680"/>
      <c r="R52" s="681">
        <f>SUM(F52:Q52)</f>
        <v>0</v>
      </c>
    </row>
    <row r="53" spans="1:18" s="641" customFormat="1" ht="12.75" outlineLevel="1" thickBot="1">
      <c r="A53" s="715" t="s">
        <v>250</v>
      </c>
      <c r="B53" s="675"/>
      <c r="C53" s="676"/>
      <c r="D53" s="676"/>
      <c r="E53" s="677"/>
      <c r="F53" s="683"/>
      <c r="G53" s="655"/>
      <c r="H53" s="655"/>
      <c r="I53" s="655"/>
      <c r="J53" s="655"/>
      <c r="K53" s="655"/>
      <c r="L53" s="655"/>
      <c r="M53" s="655"/>
      <c r="N53" s="655"/>
      <c r="O53" s="655"/>
      <c r="P53" s="655"/>
      <c r="Q53" s="655"/>
      <c r="R53" s="684"/>
    </row>
    <row r="54" spans="1:18" s="666" customFormat="1" outlineLevel="1">
      <c r="A54" s="718" t="s">
        <v>251</v>
      </c>
      <c r="B54" s="675"/>
      <c r="C54" s="676"/>
      <c r="D54" s="676"/>
      <c r="E54" s="677"/>
      <c r="F54" s="744"/>
      <c r="G54" s="688"/>
      <c r="H54" s="688"/>
      <c r="I54" s="688"/>
      <c r="J54" s="688"/>
      <c r="K54" s="688"/>
      <c r="L54" s="688"/>
      <c r="M54" s="688"/>
      <c r="N54" s="688"/>
      <c r="O54" s="688"/>
      <c r="P54" s="688"/>
      <c r="Q54" s="688"/>
      <c r="R54" s="689">
        <f t="shared" ref="R54:R59" si="16">SUM(F54:Q54)</f>
        <v>0</v>
      </c>
    </row>
    <row r="55" spans="1:18" s="666" customFormat="1" ht="22.5" customHeight="1" outlineLevel="1">
      <c r="A55" s="722" t="s">
        <v>252</v>
      </c>
      <c r="B55" s="675"/>
      <c r="C55" s="676"/>
      <c r="D55" s="676"/>
      <c r="E55" s="677"/>
      <c r="F55" s="672"/>
      <c r="G55" s="673"/>
      <c r="H55" s="673"/>
      <c r="I55" s="673"/>
      <c r="J55" s="673"/>
      <c r="K55" s="673"/>
      <c r="L55" s="673"/>
      <c r="M55" s="673"/>
      <c r="N55" s="673"/>
      <c r="O55" s="673"/>
      <c r="P55" s="673"/>
      <c r="Q55" s="673"/>
      <c r="R55" s="674">
        <f t="shared" si="16"/>
        <v>0</v>
      </c>
    </row>
    <row r="56" spans="1:18" s="666" customFormat="1" outlineLevel="1">
      <c r="A56" s="722" t="s">
        <v>253</v>
      </c>
      <c r="B56" s="675"/>
      <c r="C56" s="676"/>
      <c r="D56" s="676"/>
      <c r="E56" s="677"/>
      <c r="F56" s="672"/>
      <c r="G56" s="673"/>
      <c r="H56" s="673"/>
      <c r="I56" s="673"/>
      <c r="J56" s="673"/>
      <c r="K56" s="673"/>
      <c r="L56" s="673"/>
      <c r="M56" s="673"/>
      <c r="N56" s="673"/>
      <c r="O56" s="673"/>
      <c r="P56" s="673"/>
      <c r="Q56" s="673"/>
      <c r="R56" s="674">
        <f t="shared" si="16"/>
        <v>0</v>
      </c>
    </row>
    <row r="57" spans="1:18" s="666" customFormat="1" outlineLevel="1">
      <c r="A57" s="722" t="s">
        <v>254</v>
      </c>
      <c r="B57" s="675"/>
      <c r="C57" s="676"/>
      <c r="D57" s="676"/>
      <c r="E57" s="677"/>
      <c r="F57" s="672"/>
      <c r="G57" s="673"/>
      <c r="H57" s="673"/>
      <c r="I57" s="673"/>
      <c r="J57" s="673"/>
      <c r="K57" s="673"/>
      <c r="L57" s="673"/>
      <c r="M57" s="673"/>
      <c r="N57" s="673"/>
      <c r="O57" s="673"/>
      <c r="P57" s="673"/>
      <c r="Q57" s="673"/>
      <c r="R57" s="674">
        <f t="shared" si="16"/>
        <v>0</v>
      </c>
    </row>
    <row r="58" spans="1:18" s="666" customFormat="1" outlineLevel="1">
      <c r="A58" s="722" t="s">
        <v>255</v>
      </c>
      <c r="B58" s="675"/>
      <c r="C58" s="676"/>
      <c r="D58" s="676"/>
      <c r="E58" s="677"/>
      <c r="F58" s="672"/>
      <c r="G58" s="673"/>
      <c r="H58" s="673"/>
      <c r="I58" s="673"/>
      <c r="J58" s="673"/>
      <c r="K58" s="673"/>
      <c r="L58" s="673"/>
      <c r="M58" s="673"/>
      <c r="N58" s="673"/>
      <c r="O58" s="673"/>
      <c r="P58" s="673"/>
      <c r="Q58" s="673"/>
      <c r="R58" s="674">
        <f t="shared" si="16"/>
        <v>0</v>
      </c>
    </row>
    <row r="59" spans="1:18" s="666" customFormat="1" outlineLevel="1">
      <c r="A59" s="725" t="s">
        <v>256</v>
      </c>
      <c r="B59" s="694"/>
      <c r="C59" s="695"/>
      <c r="D59" s="696"/>
      <c r="E59" s="697"/>
      <c r="F59" s="698" t="e">
        <f t="shared" ref="F59:Q59" si="17">(F49+G49)/2*F$4</f>
        <v>#REF!</v>
      </c>
      <c r="G59" s="698" t="e">
        <f t="shared" si="17"/>
        <v>#REF!</v>
      </c>
      <c r="H59" s="698" t="e">
        <f t="shared" si="17"/>
        <v>#REF!</v>
      </c>
      <c r="I59" s="698" t="e">
        <f t="shared" si="17"/>
        <v>#REF!</v>
      </c>
      <c r="J59" s="698" t="e">
        <f t="shared" si="17"/>
        <v>#REF!</v>
      </c>
      <c r="K59" s="698" t="e">
        <f t="shared" si="17"/>
        <v>#REF!</v>
      </c>
      <c r="L59" s="698" t="e">
        <f t="shared" si="17"/>
        <v>#REF!</v>
      </c>
      <c r="M59" s="698" t="e">
        <f>(M49+N49)/2*M$4</f>
        <v>#REF!</v>
      </c>
      <c r="N59" s="698" t="e">
        <f t="shared" si="17"/>
        <v>#REF!</v>
      </c>
      <c r="O59" s="698" t="e">
        <f t="shared" si="17"/>
        <v>#REF!</v>
      </c>
      <c r="P59" s="698" t="e">
        <f t="shared" si="17"/>
        <v>#REF!</v>
      </c>
      <c r="Q59" s="698" t="e">
        <f t="shared" si="17"/>
        <v>#REF!</v>
      </c>
      <c r="R59" s="699" t="e">
        <f t="shared" si="16"/>
        <v>#REF!</v>
      </c>
    </row>
    <row r="60" spans="1:18" s="666" customFormat="1" ht="12.75" outlineLevel="1" thickBot="1">
      <c r="A60" s="700" t="s">
        <v>257</v>
      </c>
      <c r="B60" s="701"/>
      <c r="C60" s="701"/>
      <c r="D60" s="702"/>
      <c r="E60" s="703"/>
      <c r="F60" s="704" t="e">
        <f t="shared" ref="F60:Q60" si="18">F59/F$4</f>
        <v>#REF!</v>
      </c>
      <c r="G60" s="705" t="e">
        <f t="shared" si="18"/>
        <v>#REF!</v>
      </c>
      <c r="H60" s="705" t="e">
        <f t="shared" si="18"/>
        <v>#REF!</v>
      </c>
      <c r="I60" s="705" t="e">
        <f t="shared" si="18"/>
        <v>#REF!</v>
      </c>
      <c r="J60" s="705" t="e">
        <f t="shared" si="18"/>
        <v>#REF!</v>
      </c>
      <c r="K60" s="705" t="e">
        <f t="shared" si="18"/>
        <v>#REF!</v>
      </c>
      <c r="L60" s="705" t="e">
        <f t="shared" si="18"/>
        <v>#REF!</v>
      </c>
      <c r="M60" s="705" t="e">
        <f t="shared" si="18"/>
        <v>#REF!</v>
      </c>
      <c r="N60" s="705" t="e">
        <f t="shared" si="18"/>
        <v>#REF!</v>
      </c>
      <c r="O60" s="705" t="e">
        <f t="shared" si="18"/>
        <v>#REF!</v>
      </c>
      <c r="P60" s="705" t="e">
        <f t="shared" si="18"/>
        <v>#REF!</v>
      </c>
      <c r="Q60" s="705" t="e">
        <f t="shared" si="18"/>
        <v>#REF!</v>
      </c>
      <c r="R60" s="706" t="e">
        <f>R59/R$4</f>
        <v>#REF!</v>
      </c>
    </row>
    <row r="61" spans="1:18" s="641" customFormat="1" ht="12.75" thickBot="1">
      <c r="A61" s="650" t="s">
        <v>263</v>
      </c>
      <c r="B61" s="651"/>
      <c r="C61" s="651"/>
      <c r="D61" s="652"/>
      <c r="E61" s="652"/>
      <c r="F61" s="651"/>
      <c r="G61" s="651"/>
      <c r="H61" s="651"/>
      <c r="I61" s="651"/>
      <c r="J61" s="651"/>
      <c r="K61" s="651"/>
      <c r="L61" s="651"/>
      <c r="M61" s="651"/>
      <c r="N61" s="651"/>
      <c r="O61" s="651"/>
      <c r="P61" s="651"/>
      <c r="Q61" s="651"/>
      <c r="R61" s="653"/>
    </row>
    <row r="62" spans="1:18" s="641" customFormat="1" ht="12.75" outlineLevel="1" thickBot="1">
      <c r="A62" s="654" t="s">
        <v>245</v>
      </c>
      <c r="B62" s="655"/>
      <c r="C62" s="655"/>
      <c r="D62" s="656"/>
      <c r="E62" s="657"/>
      <c r="F62" s="655"/>
      <c r="G62" s="655"/>
      <c r="H62" s="655"/>
      <c r="I62" s="655"/>
      <c r="J62" s="655"/>
      <c r="K62" s="655"/>
      <c r="L62" s="655"/>
      <c r="M62" s="655"/>
      <c r="N62" s="655"/>
      <c r="O62" s="655"/>
      <c r="P62" s="655"/>
      <c r="Q62" s="655"/>
      <c r="R62" s="658"/>
    </row>
    <row r="63" spans="1:18" s="666" customFormat="1" outlineLevel="1">
      <c r="A63" s="659" t="s">
        <v>262</v>
      </c>
      <c r="B63" s="660" t="e">
        <f>'КРМД-24'!R63</f>
        <v>#REF!</v>
      </c>
      <c r="C63" s="660" t="e">
        <f>B63</f>
        <v>#REF!</v>
      </c>
      <c r="D63" s="708" t="e">
        <f>+B63*0.35</f>
        <v>#REF!</v>
      </c>
      <c r="E63" s="662" t="e">
        <f>B63*60</f>
        <v>#REF!</v>
      </c>
      <c r="F63" s="663" t="e">
        <f>B63</f>
        <v>#REF!</v>
      </c>
      <c r="G63" s="664" t="e">
        <f t="shared" ref="G63:Q63" si="19">(F63+F64+F65+F66-F68-F69-F70-F71-F72)</f>
        <v>#REF!</v>
      </c>
      <c r="H63" s="664" t="e">
        <f t="shared" si="19"/>
        <v>#REF!</v>
      </c>
      <c r="I63" s="664" t="e">
        <f t="shared" si="19"/>
        <v>#REF!</v>
      </c>
      <c r="J63" s="664" t="e">
        <f t="shared" si="19"/>
        <v>#REF!</v>
      </c>
      <c r="K63" s="664" t="e">
        <f t="shared" si="19"/>
        <v>#REF!</v>
      </c>
      <c r="L63" s="664" t="e">
        <f t="shared" si="19"/>
        <v>#REF!</v>
      </c>
      <c r="M63" s="664" t="e">
        <f t="shared" si="19"/>
        <v>#REF!</v>
      </c>
      <c r="N63" s="664" t="e">
        <f t="shared" si="19"/>
        <v>#REF!</v>
      </c>
      <c r="O63" s="664" t="e">
        <f t="shared" si="19"/>
        <v>#REF!</v>
      </c>
      <c r="P63" s="664" t="e">
        <f t="shared" si="19"/>
        <v>#REF!</v>
      </c>
      <c r="Q63" s="664" t="e">
        <f t="shared" si="19"/>
        <v>#REF!</v>
      </c>
      <c r="R63" s="665" t="e">
        <f>(Q63+Q64+Q65+Q66-Q68-Q69-Q70-Q71-Q72)</f>
        <v>#REF!</v>
      </c>
    </row>
    <row r="64" spans="1:18" s="666" customFormat="1" outlineLevel="1">
      <c r="A64" s="667" t="s">
        <v>247</v>
      </c>
      <c r="B64" s="668"/>
      <c r="C64" s="669"/>
      <c r="D64" s="670"/>
      <c r="E64" s="671"/>
      <c r="F64" s="713">
        <f>F82</f>
        <v>0</v>
      </c>
      <c r="G64" s="713">
        <f t="shared" ref="G64:Q64" si="20">G82</f>
        <v>0</v>
      </c>
      <c r="H64" s="713">
        <f t="shared" si="20"/>
        <v>0</v>
      </c>
      <c r="I64" s="713">
        <f t="shared" si="20"/>
        <v>0</v>
      </c>
      <c r="J64" s="713">
        <f t="shared" si="20"/>
        <v>0</v>
      </c>
      <c r="K64" s="713">
        <f t="shared" si="20"/>
        <v>0</v>
      </c>
      <c r="L64" s="713">
        <f t="shared" si="20"/>
        <v>0</v>
      </c>
      <c r="M64" s="713">
        <f t="shared" si="20"/>
        <v>0</v>
      </c>
      <c r="N64" s="713">
        <f t="shared" si="20"/>
        <v>0</v>
      </c>
      <c r="O64" s="713">
        <f>O82</f>
        <v>0</v>
      </c>
      <c r="P64" s="713">
        <f>P82</f>
        <v>0</v>
      </c>
      <c r="Q64" s="713" t="e">
        <f t="shared" si="20"/>
        <v>#REF!</v>
      </c>
      <c r="R64" s="674" t="e">
        <f t="shared" ref="R64:R73" si="21">SUM(F64:Q64)</f>
        <v>#REF!</v>
      </c>
    </row>
    <row r="65" spans="1:18" s="666" customFormat="1" outlineLevel="1">
      <c r="A65" s="667" t="s">
        <v>248</v>
      </c>
      <c r="B65" s="675"/>
      <c r="C65" s="676"/>
      <c r="D65" s="676"/>
      <c r="E65" s="677"/>
      <c r="F65" s="713"/>
      <c r="G65" s="673"/>
      <c r="H65" s="673"/>
      <c r="I65" s="673"/>
      <c r="J65" s="673"/>
      <c r="K65" s="673"/>
      <c r="L65" s="673"/>
      <c r="M65" s="673"/>
      <c r="N65" s="673"/>
      <c r="O65" s="673"/>
      <c r="P65" s="673"/>
      <c r="Q65" s="673"/>
      <c r="R65" s="674">
        <f t="shared" si="21"/>
        <v>0</v>
      </c>
    </row>
    <row r="66" spans="1:18" s="666" customFormat="1" ht="12.75" outlineLevel="1" thickBot="1">
      <c r="A66" s="678" t="s">
        <v>249</v>
      </c>
      <c r="B66" s="675"/>
      <c r="C66" s="676"/>
      <c r="D66" s="676"/>
      <c r="E66" s="677"/>
      <c r="F66" s="680"/>
      <c r="G66" s="680"/>
      <c r="H66" s="680"/>
      <c r="I66" s="680"/>
      <c r="J66" s="680"/>
      <c r="K66" s="680"/>
      <c r="L66" s="680"/>
      <c r="M66" s="680"/>
      <c r="N66" s="680"/>
      <c r="O66" s="680"/>
      <c r="P66" s="680"/>
      <c r="Q66" s="680"/>
      <c r="R66" s="681">
        <f t="shared" si="21"/>
        <v>0</v>
      </c>
    </row>
    <row r="67" spans="1:18" s="666" customFormat="1" ht="12.75" outlineLevel="1" thickBot="1">
      <c r="A67" s="682" t="s">
        <v>250</v>
      </c>
      <c r="B67" s="675"/>
      <c r="C67" s="676"/>
      <c r="D67" s="676"/>
      <c r="E67" s="677"/>
      <c r="F67" s="745"/>
      <c r="G67" s="745"/>
      <c r="H67" s="745"/>
      <c r="I67" s="745"/>
      <c r="J67" s="745"/>
      <c r="K67" s="745"/>
      <c r="L67" s="745"/>
      <c r="M67" s="745"/>
      <c r="N67" s="745"/>
      <c r="O67" s="745"/>
      <c r="P67" s="745"/>
      <c r="Q67" s="745"/>
      <c r="R67" s="684">
        <f t="shared" si="21"/>
        <v>0</v>
      </c>
    </row>
    <row r="68" spans="1:18" s="666" customFormat="1" outlineLevel="1">
      <c r="A68" s="685" t="s">
        <v>251</v>
      </c>
      <c r="B68" s="675"/>
      <c r="C68" s="676"/>
      <c r="D68" s="676"/>
      <c r="E68" s="677"/>
      <c r="F68" s="746"/>
      <c r="G68" s="688"/>
      <c r="H68" s="688" t="e">
        <f>H63</f>
        <v>#REF!</v>
      </c>
      <c r="I68" s="688"/>
      <c r="J68" s="688"/>
      <c r="K68" s="688"/>
      <c r="L68" s="688"/>
      <c r="M68" s="688"/>
      <c r="N68" s="688"/>
      <c r="O68" s="688"/>
      <c r="P68" s="688"/>
      <c r="Q68" s="688"/>
      <c r="R68" s="689" t="e">
        <f t="shared" si="21"/>
        <v>#REF!</v>
      </c>
    </row>
    <row r="69" spans="1:18" s="666" customFormat="1" ht="22.5" customHeight="1" outlineLevel="1">
      <c r="A69" s="690" t="s">
        <v>252</v>
      </c>
      <c r="B69" s="675"/>
      <c r="C69" s="676"/>
      <c r="D69" s="676"/>
      <c r="E69" s="677"/>
      <c r="F69" s="713"/>
      <c r="G69" s="673"/>
      <c r="H69" s="673"/>
      <c r="I69" s="673"/>
      <c r="J69" s="673"/>
      <c r="K69" s="673"/>
      <c r="L69" s="673"/>
      <c r="M69" s="673"/>
      <c r="N69" s="673"/>
      <c r="O69" s="673"/>
      <c r="P69" s="673"/>
      <c r="Q69" s="673"/>
      <c r="R69" s="674">
        <f t="shared" si="21"/>
        <v>0</v>
      </c>
    </row>
    <row r="70" spans="1:18" s="666" customFormat="1" outlineLevel="1">
      <c r="A70" s="690" t="s">
        <v>253</v>
      </c>
      <c r="B70" s="675"/>
      <c r="C70" s="676"/>
      <c r="D70" s="676"/>
      <c r="E70" s="677"/>
      <c r="F70" s="713"/>
      <c r="G70" s="673"/>
      <c r="H70" s="673"/>
      <c r="I70" s="673"/>
      <c r="J70" s="673"/>
      <c r="K70" s="673"/>
      <c r="L70" s="673"/>
      <c r="M70" s="673"/>
      <c r="N70" s="673"/>
      <c r="O70" s="673"/>
      <c r="P70" s="673"/>
      <c r="Q70" s="673"/>
      <c r="R70" s="674">
        <f t="shared" si="21"/>
        <v>0</v>
      </c>
    </row>
    <row r="71" spans="1:18" s="666" customFormat="1" outlineLevel="1">
      <c r="A71" s="690" t="s">
        <v>254</v>
      </c>
      <c r="B71" s="675"/>
      <c r="C71" s="676"/>
      <c r="D71" s="676"/>
      <c r="E71" s="677"/>
      <c r="F71" s="713"/>
      <c r="G71" s="673"/>
      <c r="H71" s="673"/>
      <c r="I71" s="673"/>
      <c r="J71" s="673"/>
      <c r="K71" s="673"/>
      <c r="L71" s="673"/>
      <c r="M71" s="673"/>
      <c r="N71" s="673"/>
      <c r="O71" s="673"/>
      <c r="P71" s="673"/>
      <c r="Q71" s="673"/>
      <c r="R71" s="674">
        <f t="shared" si="21"/>
        <v>0</v>
      </c>
    </row>
    <row r="72" spans="1:18" s="666" customFormat="1" outlineLevel="1">
      <c r="A72" s="690" t="s">
        <v>255</v>
      </c>
      <c r="B72" s="675"/>
      <c r="C72" s="676"/>
      <c r="D72" s="676"/>
      <c r="E72" s="677"/>
      <c r="F72" s="713"/>
      <c r="G72" s="673"/>
      <c r="H72" s="673"/>
      <c r="I72" s="673"/>
      <c r="J72" s="673"/>
      <c r="K72" s="673"/>
      <c r="L72" s="673"/>
      <c r="M72" s="673"/>
      <c r="N72" s="673"/>
      <c r="O72" s="673"/>
      <c r="P72" s="673"/>
      <c r="Q72" s="673"/>
      <c r="R72" s="674">
        <f t="shared" si="21"/>
        <v>0</v>
      </c>
    </row>
    <row r="73" spans="1:18" s="666" customFormat="1" outlineLevel="1">
      <c r="A73" s="693" t="s">
        <v>256</v>
      </c>
      <c r="B73" s="694"/>
      <c r="C73" s="695"/>
      <c r="D73" s="696"/>
      <c r="E73" s="697"/>
      <c r="F73" s="698" t="e">
        <f t="shared" ref="F73:Q73" si="22">(F63+G63)/2*F$4</f>
        <v>#REF!</v>
      </c>
      <c r="G73" s="698" t="e">
        <f t="shared" si="22"/>
        <v>#REF!</v>
      </c>
      <c r="H73" s="698" t="e">
        <f t="shared" si="22"/>
        <v>#REF!</v>
      </c>
      <c r="I73" s="698" t="e">
        <f t="shared" si="22"/>
        <v>#REF!</v>
      </c>
      <c r="J73" s="698" t="e">
        <f t="shared" si="22"/>
        <v>#REF!</v>
      </c>
      <c r="K73" s="698" t="e">
        <f t="shared" si="22"/>
        <v>#REF!</v>
      </c>
      <c r="L73" s="698" t="e">
        <f t="shared" si="22"/>
        <v>#REF!</v>
      </c>
      <c r="M73" s="698" t="e">
        <f t="shared" si="22"/>
        <v>#REF!</v>
      </c>
      <c r="N73" s="698" t="e">
        <f t="shared" si="22"/>
        <v>#REF!</v>
      </c>
      <c r="O73" s="698" t="e">
        <f t="shared" si="22"/>
        <v>#REF!</v>
      </c>
      <c r="P73" s="698" t="e">
        <f t="shared" si="22"/>
        <v>#REF!</v>
      </c>
      <c r="Q73" s="698" t="e">
        <f t="shared" si="22"/>
        <v>#REF!</v>
      </c>
      <c r="R73" s="699" t="e">
        <f t="shared" si="21"/>
        <v>#REF!</v>
      </c>
    </row>
    <row r="74" spans="1:18" s="666" customFormat="1" ht="12.75" outlineLevel="1" thickBot="1">
      <c r="A74" s="700" t="s">
        <v>257</v>
      </c>
      <c r="B74" s="701"/>
      <c r="C74" s="701"/>
      <c r="D74" s="702"/>
      <c r="E74" s="703"/>
      <c r="F74" s="704" t="e">
        <f t="shared" ref="F74:Q74" si="23">F73/F$4</f>
        <v>#REF!</v>
      </c>
      <c r="G74" s="705" t="e">
        <f t="shared" si="23"/>
        <v>#REF!</v>
      </c>
      <c r="H74" s="705" t="e">
        <f t="shared" si="23"/>
        <v>#REF!</v>
      </c>
      <c r="I74" s="705" t="e">
        <f t="shared" si="23"/>
        <v>#REF!</v>
      </c>
      <c r="J74" s="705" t="e">
        <f t="shared" si="23"/>
        <v>#REF!</v>
      </c>
      <c r="K74" s="705" t="e">
        <f t="shared" si="23"/>
        <v>#REF!</v>
      </c>
      <c r="L74" s="705" t="e">
        <f t="shared" si="23"/>
        <v>#REF!</v>
      </c>
      <c r="M74" s="705" t="e">
        <f t="shared" si="23"/>
        <v>#REF!</v>
      </c>
      <c r="N74" s="705" t="e">
        <f t="shared" si="23"/>
        <v>#REF!</v>
      </c>
      <c r="O74" s="705" t="e">
        <f t="shared" si="23"/>
        <v>#REF!</v>
      </c>
      <c r="P74" s="705" t="e">
        <f t="shared" si="23"/>
        <v>#REF!</v>
      </c>
      <c r="Q74" s="705" t="e">
        <f t="shared" si="23"/>
        <v>#REF!</v>
      </c>
      <c r="R74" s="706" t="e">
        <f>R73/R$4</f>
        <v>#REF!</v>
      </c>
    </row>
    <row r="75" spans="1:18" s="641" customFormat="1" ht="12.75" thickBot="1">
      <c r="A75" s="650" t="s">
        <v>264</v>
      </c>
      <c r="B75" s="651"/>
      <c r="C75" s="651"/>
      <c r="D75" s="652"/>
      <c r="E75" s="652"/>
      <c r="F75" s="651"/>
      <c r="G75" s="651"/>
      <c r="H75" s="651"/>
      <c r="I75" s="651"/>
      <c r="J75" s="651"/>
      <c r="K75" s="651"/>
      <c r="L75" s="651"/>
      <c r="M75" s="651"/>
      <c r="N75" s="651"/>
      <c r="O75" s="651"/>
      <c r="P75" s="651"/>
      <c r="Q75" s="651"/>
      <c r="R75" s="653"/>
    </row>
    <row r="76" spans="1:18" s="641" customFormat="1" ht="12.75" outlineLevel="1" thickBot="1">
      <c r="A76" s="654"/>
      <c r="B76" s="655"/>
      <c r="C76" s="655"/>
      <c r="D76" s="656"/>
      <c r="E76" s="657"/>
      <c r="F76" s="655"/>
      <c r="G76" s="655"/>
      <c r="H76" s="655"/>
      <c r="I76" s="655"/>
      <c r="J76" s="655"/>
      <c r="K76" s="655"/>
      <c r="L76" s="655"/>
      <c r="M76" s="655"/>
      <c r="N76" s="655"/>
      <c r="O76" s="655"/>
      <c r="P76" s="655"/>
      <c r="Q76" s="655"/>
      <c r="R76" s="658"/>
    </row>
    <row r="77" spans="1:18" s="666" customFormat="1" outlineLevel="1">
      <c r="A77" s="659" t="s">
        <v>262</v>
      </c>
      <c r="B77" s="707" t="e">
        <f>'КРМД-24'!R77</f>
        <v>#REF!</v>
      </c>
      <c r="C77" s="660" t="e">
        <f>B77</f>
        <v>#REF!</v>
      </c>
      <c r="D77" s="708" t="e">
        <f>+B77*0.31</f>
        <v>#REF!</v>
      </c>
      <c r="E77" s="662" t="e">
        <f>B77*55</f>
        <v>#REF!</v>
      </c>
      <c r="F77" s="663" t="e">
        <f>B77</f>
        <v>#REF!</v>
      </c>
      <c r="G77" s="709" t="e">
        <f t="shared" ref="G77:Q77" si="24">(F77+F78+F79+F80-F82-F83-F84-F85-F86)</f>
        <v>#REF!</v>
      </c>
      <c r="H77" s="709" t="e">
        <f t="shared" si="24"/>
        <v>#REF!</v>
      </c>
      <c r="I77" s="709" t="e">
        <f t="shared" si="24"/>
        <v>#REF!</v>
      </c>
      <c r="J77" s="709" t="e">
        <f t="shared" si="24"/>
        <v>#REF!</v>
      </c>
      <c r="K77" s="709" t="e">
        <f t="shared" si="24"/>
        <v>#REF!</v>
      </c>
      <c r="L77" s="709" t="e">
        <f t="shared" si="24"/>
        <v>#REF!</v>
      </c>
      <c r="M77" s="709" t="e">
        <f t="shared" si="24"/>
        <v>#REF!</v>
      </c>
      <c r="N77" s="709" t="e">
        <f t="shared" si="24"/>
        <v>#REF!</v>
      </c>
      <c r="O77" s="709" t="e">
        <f t="shared" si="24"/>
        <v>#REF!</v>
      </c>
      <c r="P77" s="709" t="e">
        <f t="shared" si="24"/>
        <v>#REF!</v>
      </c>
      <c r="Q77" s="664" t="e">
        <f t="shared" si="24"/>
        <v>#REF!</v>
      </c>
      <c r="R77" s="665" t="e">
        <f>(Q77+Q78+Q79+Q80-Q82-Q83-Q84-Q85-Q86)</f>
        <v>#REF!</v>
      </c>
    </row>
    <row r="78" spans="1:18" s="666" customFormat="1" outlineLevel="1">
      <c r="A78" s="710" t="s">
        <v>247</v>
      </c>
      <c r="B78" s="668"/>
      <c r="C78" s="669"/>
      <c r="D78" s="670"/>
      <c r="E78" s="671"/>
      <c r="F78" s="711">
        <f>F96</f>
        <v>0</v>
      </c>
      <c r="G78" s="712">
        <f t="shared" ref="G78:Q78" si="25">G96</f>
        <v>0</v>
      </c>
      <c r="H78" s="712">
        <f t="shared" si="25"/>
        <v>0</v>
      </c>
      <c r="I78" s="712">
        <f t="shared" si="25"/>
        <v>0</v>
      </c>
      <c r="J78" s="712">
        <f t="shared" si="25"/>
        <v>0</v>
      </c>
      <c r="K78" s="712">
        <f t="shared" si="25"/>
        <v>0</v>
      </c>
      <c r="L78" s="712">
        <f t="shared" si="25"/>
        <v>0</v>
      </c>
      <c r="M78" s="712">
        <f t="shared" si="25"/>
        <v>0</v>
      </c>
      <c r="N78" s="712">
        <f t="shared" si="25"/>
        <v>0</v>
      </c>
      <c r="O78" s="712">
        <f t="shared" si="25"/>
        <v>0</v>
      </c>
      <c r="P78" s="712">
        <f t="shared" si="25"/>
        <v>0</v>
      </c>
      <c r="Q78" s="713" t="e">
        <f t="shared" si="25"/>
        <v>#REF!</v>
      </c>
      <c r="R78" s="674" t="e">
        <f t="shared" ref="R78:R87" si="26">SUM(F78:Q78)</f>
        <v>#REF!</v>
      </c>
    </row>
    <row r="79" spans="1:18" s="666" customFormat="1" outlineLevel="1">
      <c r="A79" s="710" t="s">
        <v>248</v>
      </c>
      <c r="B79" s="675"/>
      <c r="C79" s="676"/>
      <c r="D79" s="676"/>
      <c r="E79" s="677"/>
      <c r="F79" s="672"/>
      <c r="G79" s="688"/>
      <c r="H79" s="688"/>
      <c r="I79" s="688"/>
      <c r="J79" s="688"/>
      <c r="K79" s="688"/>
      <c r="L79" s="688"/>
      <c r="M79" s="688"/>
      <c r="N79" s="688"/>
      <c r="O79" s="688"/>
      <c r="P79" s="688"/>
      <c r="Q79" s="673"/>
      <c r="R79" s="674">
        <f t="shared" si="26"/>
        <v>0</v>
      </c>
    </row>
    <row r="80" spans="1:18" s="666" customFormat="1" ht="12.75" outlineLevel="1" thickBot="1">
      <c r="A80" s="714" t="s">
        <v>249</v>
      </c>
      <c r="B80" s="675"/>
      <c r="C80" s="676"/>
      <c r="D80" s="676"/>
      <c r="E80" s="677"/>
      <c r="F80" s="679"/>
      <c r="G80" s="680"/>
      <c r="H80" s="680"/>
      <c r="I80" s="680"/>
      <c r="J80" s="680"/>
      <c r="K80" s="680"/>
      <c r="L80" s="680"/>
      <c r="M80" s="680"/>
      <c r="N80" s="680"/>
      <c r="O80" s="680"/>
      <c r="P80" s="680"/>
      <c r="Q80" s="680"/>
      <c r="R80" s="681">
        <f t="shared" si="26"/>
        <v>0</v>
      </c>
    </row>
    <row r="81" spans="1:18" s="641" customFormat="1" ht="12.75" outlineLevel="1" thickBot="1">
      <c r="A81" s="715" t="s">
        <v>250</v>
      </c>
      <c r="B81" s="675"/>
      <c r="C81" s="676"/>
      <c r="D81" s="676"/>
      <c r="E81" s="677"/>
      <c r="F81" s="683"/>
      <c r="G81" s="655"/>
      <c r="H81" s="655"/>
      <c r="I81" s="655"/>
      <c r="J81" s="655"/>
      <c r="K81" s="655"/>
      <c r="L81" s="655"/>
      <c r="M81" s="655"/>
      <c r="N81" s="655"/>
      <c r="O81" s="655"/>
      <c r="P81" s="655"/>
      <c r="Q81" s="655"/>
      <c r="R81" s="684">
        <f t="shared" si="26"/>
        <v>0</v>
      </c>
    </row>
    <row r="82" spans="1:18" s="666" customFormat="1" outlineLevel="1">
      <c r="A82" s="718" t="s">
        <v>251</v>
      </c>
      <c r="B82" s="675"/>
      <c r="C82" s="676"/>
      <c r="D82" s="676"/>
      <c r="E82" s="677"/>
      <c r="F82" s="744"/>
      <c r="G82" s="688"/>
      <c r="H82" s="688"/>
      <c r="I82" s="688"/>
      <c r="J82" s="688"/>
      <c r="K82" s="688"/>
      <c r="L82" s="688"/>
      <c r="M82" s="688"/>
      <c r="N82" s="688"/>
      <c r="O82" s="688"/>
      <c r="P82" s="688"/>
      <c r="Q82" s="688" t="e">
        <f>Q77</f>
        <v>#REF!</v>
      </c>
      <c r="R82" s="689" t="e">
        <f t="shared" si="26"/>
        <v>#REF!</v>
      </c>
    </row>
    <row r="83" spans="1:18" s="666" customFormat="1" ht="24" outlineLevel="1">
      <c r="A83" s="722" t="s">
        <v>252</v>
      </c>
      <c r="B83" s="675"/>
      <c r="C83" s="676"/>
      <c r="D83" s="676"/>
      <c r="E83" s="677"/>
      <c r="F83" s="672"/>
      <c r="G83" s="673"/>
      <c r="H83" s="673"/>
      <c r="I83" s="673"/>
      <c r="J83" s="673"/>
      <c r="K83" s="673"/>
      <c r="L83" s="673"/>
      <c r="M83" s="673"/>
      <c r="N83" s="673"/>
      <c r="O83" s="673"/>
      <c r="P83" s="673"/>
      <c r="Q83" s="673"/>
      <c r="R83" s="674">
        <f t="shared" si="26"/>
        <v>0</v>
      </c>
    </row>
    <row r="84" spans="1:18" s="666" customFormat="1" outlineLevel="1">
      <c r="A84" s="722" t="s">
        <v>253</v>
      </c>
      <c r="B84" s="675"/>
      <c r="C84" s="676"/>
      <c r="D84" s="676"/>
      <c r="E84" s="677"/>
      <c r="F84" s="672"/>
      <c r="G84" s="673"/>
      <c r="H84" s="673"/>
      <c r="I84" s="673"/>
      <c r="J84" s="673"/>
      <c r="K84" s="673"/>
      <c r="L84" s="673"/>
      <c r="M84" s="673"/>
      <c r="N84" s="673"/>
      <c r="O84" s="673"/>
      <c r="P84" s="673"/>
      <c r="Q84" s="673"/>
      <c r="R84" s="674">
        <f t="shared" si="26"/>
        <v>0</v>
      </c>
    </row>
    <row r="85" spans="1:18" s="666" customFormat="1" outlineLevel="1">
      <c r="A85" s="722" t="s">
        <v>254</v>
      </c>
      <c r="B85" s="675"/>
      <c r="C85" s="676"/>
      <c r="D85" s="676"/>
      <c r="E85" s="677"/>
      <c r="F85" s="672"/>
      <c r="G85" s="673"/>
      <c r="H85" s="673"/>
      <c r="I85" s="673"/>
      <c r="J85" s="673"/>
      <c r="K85" s="673"/>
      <c r="L85" s="673"/>
      <c r="M85" s="673"/>
      <c r="N85" s="673"/>
      <c r="O85" s="673"/>
      <c r="P85" s="673"/>
      <c r="Q85" s="673"/>
      <c r="R85" s="674">
        <f t="shared" si="26"/>
        <v>0</v>
      </c>
    </row>
    <row r="86" spans="1:18" s="666" customFormat="1" outlineLevel="1">
      <c r="A86" s="722" t="s">
        <v>255</v>
      </c>
      <c r="B86" s="675"/>
      <c r="C86" s="676"/>
      <c r="D86" s="676"/>
      <c r="E86" s="677"/>
      <c r="F86" s="672"/>
      <c r="G86" s="673"/>
      <c r="H86" s="673"/>
      <c r="I86" s="673"/>
      <c r="J86" s="673"/>
      <c r="K86" s="673"/>
      <c r="L86" s="673"/>
      <c r="M86" s="673"/>
      <c r="N86" s="673"/>
      <c r="O86" s="673"/>
      <c r="P86" s="673"/>
      <c r="Q86" s="673"/>
      <c r="R86" s="674">
        <f t="shared" si="26"/>
        <v>0</v>
      </c>
    </row>
    <row r="87" spans="1:18" s="666" customFormat="1" outlineLevel="1">
      <c r="A87" s="725" t="s">
        <v>256</v>
      </c>
      <c r="B87" s="694"/>
      <c r="C87" s="695"/>
      <c r="D87" s="696"/>
      <c r="E87" s="697"/>
      <c r="F87" s="698" t="e">
        <f t="shared" ref="F87:Q87" si="27">(F77+G77)/2*F$4</f>
        <v>#REF!</v>
      </c>
      <c r="G87" s="698" t="e">
        <f t="shared" si="27"/>
        <v>#REF!</v>
      </c>
      <c r="H87" s="698" t="e">
        <f t="shared" si="27"/>
        <v>#REF!</v>
      </c>
      <c r="I87" s="698" t="e">
        <f t="shared" si="27"/>
        <v>#REF!</v>
      </c>
      <c r="J87" s="698" t="e">
        <f t="shared" si="27"/>
        <v>#REF!</v>
      </c>
      <c r="K87" s="698" t="e">
        <f t="shared" si="27"/>
        <v>#REF!</v>
      </c>
      <c r="L87" s="698" t="e">
        <f t="shared" si="27"/>
        <v>#REF!</v>
      </c>
      <c r="M87" s="698" t="e">
        <f t="shared" si="27"/>
        <v>#REF!</v>
      </c>
      <c r="N87" s="698" t="e">
        <f t="shared" si="27"/>
        <v>#REF!</v>
      </c>
      <c r="O87" s="698" t="e">
        <f t="shared" si="27"/>
        <v>#REF!</v>
      </c>
      <c r="P87" s="698" t="e">
        <f t="shared" si="27"/>
        <v>#REF!</v>
      </c>
      <c r="Q87" s="698" t="e">
        <f t="shared" si="27"/>
        <v>#REF!</v>
      </c>
      <c r="R87" s="699" t="e">
        <f t="shared" si="26"/>
        <v>#REF!</v>
      </c>
    </row>
    <row r="88" spans="1:18" s="666" customFormat="1" ht="12.75" outlineLevel="1" thickBot="1">
      <c r="A88" s="700" t="s">
        <v>257</v>
      </c>
      <c r="B88" s="701"/>
      <c r="C88" s="701"/>
      <c r="D88" s="702"/>
      <c r="E88" s="703"/>
      <c r="F88" s="704" t="e">
        <f t="shared" ref="F88:Q88" si="28">F87/F$4</f>
        <v>#REF!</v>
      </c>
      <c r="G88" s="705" t="e">
        <f t="shared" si="28"/>
        <v>#REF!</v>
      </c>
      <c r="H88" s="705" t="e">
        <f t="shared" si="28"/>
        <v>#REF!</v>
      </c>
      <c r="I88" s="705" t="e">
        <f t="shared" si="28"/>
        <v>#REF!</v>
      </c>
      <c r="J88" s="705" t="e">
        <f t="shared" si="28"/>
        <v>#REF!</v>
      </c>
      <c r="K88" s="705" t="e">
        <f t="shared" si="28"/>
        <v>#REF!</v>
      </c>
      <c r="L88" s="705" t="e">
        <f t="shared" si="28"/>
        <v>#REF!</v>
      </c>
      <c r="M88" s="705" t="e">
        <f t="shared" si="28"/>
        <v>#REF!</v>
      </c>
      <c r="N88" s="705" t="e">
        <f t="shared" si="28"/>
        <v>#REF!</v>
      </c>
      <c r="O88" s="705" t="e">
        <f t="shared" si="28"/>
        <v>#REF!</v>
      </c>
      <c r="P88" s="705" t="e">
        <f t="shared" si="28"/>
        <v>#REF!</v>
      </c>
      <c r="Q88" s="705" t="e">
        <f t="shared" si="28"/>
        <v>#REF!</v>
      </c>
      <c r="R88" s="706" t="e">
        <f>R87/R$4</f>
        <v>#REF!</v>
      </c>
    </row>
    <row r="89" spans="1:18" s="641" customFormat="1" ht="12.75" thickBot="1">
      <c r="A89" s="650" t="s">
        <v>265</v>
      </c>
      <c r="B89" s="651"/>
      <c r="C89" s="651"/>
      <c r="D89" s="652"/>
      <c r="E89" s="652"/>
      <c r="F89" s="651"/>
      <c r="G89" s="651"/>
      <c r="H89" s="651"/>
      <c r="I89" s="651"/>
      <c r="J89" s="651"/>
      <c r="K89" s="651"/>
      <c r="L89" s="651"/>
      <c r="M89" s="651"/>
      <c r="N89" s="651"/>
      <c r="O89" s="651"/>
      <c r="P89" s="651"/>
      <c r="Q89" s="651"/>
      <c r="R89" s="653"/>
    </row>
    <row r="90" spans="1:18" s="641" customFormat="1" ht="12.75" outlineLevel="1" thickBot="1">
      <c r="A90" s="654" t="s">
        <v>245</v>
      </c>
      <c r="B90" s="655"/>
      <c r="C90" s="655"/>
      <c r="D90" s="656"/>
      <c r="E90" s="657"/>
      <c r="F90" s="655"/>
      <c r="G90" s="655"/>
      <c r="H90" s="655"/>
      <c r="I90" s="655"/>
      <c r="J90" s="655"/>
      <c r="K90" s="655"/>
      <c r="L90" s="655"/>
      <c r="M90" s="655"/>
      <c r="N90" s="655"/>
      <c r="O90" s="655"/>
      <c r="P90" s="655"/>
      <c r="Q90" s="655"/>
      <c r="R90" s="658"/>
    </row>
    <row r="91" spans="1:18" s="666" customFormat="1" outlineLevel="1">
      <c r="A91" s="659" t="s">
        <v>259</v>
      </c>
      <c r="B91" s="707" t="e">
        <f>'КРМД-24'!R91</f>
        <v>#REF!</v>
      </c>
      <c r="C91" s="660" t="e">
        <f>B91</f>
        <v>#REF!</v>
      </c>
      <c r="D91" s="708" t="e">
        <f>+B91*0.27</f>
        <v>#REF!</v>
      </c>
      <c r="E91" s="662" t="e">
        <f>B91*45</f>
        <v>#REF!</v>
      </c>
      <c r="F91" s="663" t="e">
        <f>B91</f>
        <v>#REF!</v>
      </c>
      <c r="G91" s="709" t="e">
        <f t="shared" ref="G91:Q91" si="29">(F91+F92+F93+F94-F96-F97-F98-F99-F100)</f>
        <v>#REF!</v>
      </c>
      <c r="H91" s="709" t="e">
        <f t="shared" si="29"/>
        <v>#REF!</v>
      </c>
      <c r="I91" s="709" t="e">
        <f t="shared" si="29"/>
        <v>#REF!</v>
      </c>
      <c r="J91" s="709" t="e">
        <f t="shared" si="29"/>
        <v>#REF!</v>
      </c>
      <c r="K91" s="709" t="e">
        <f t="shared" si="29"/>
        <v>#REF!</v>
      </c>
      <c r="L91" s="709" t="e">
        <f t="shared" si="29"/>
        <v>#REF!</v>
      </c>
      <c r="M91" s="709" t="e">
        <f t="shared" si="29"/>
        <v>#REF!</v>
      </c>
      <c r="N91" s="709" t="e">
        <f t="shared" si="29"/>
        <v>#REF!</v>
      </c>
      <c r="O91" s="709" t="e">
        <f t="shared" si="29"/>
        <v>#REF!</v>
      </c>
      <c r="P91" s="709" t="e">
        <f t="shared" si="29"/>
        <v>#REF!</v>
      </c>
      <c r="Q91" s="664" t="e">
        <f t="shared" si="29"/>
        <v>#REF!</v>
      </c>
      <c r="R91" s="665" t="e">
        <f>(Q91+Q92+Q93+Q94-Q96-Q97-Q98-Q99-Q100)</f>
        <v>#REF!</v>
      </c>
    </row>
    <row r="92" spans="1:18" s="666" customFormat="1" outlineLevel="1">
      <c r="A92" s="710" t="s">
        <v>247</v>
      </c>
      <c r="B92" s="668"/>
      <c r="C92" s="669"/>
      <c r="D92" s="670"/>
      <c r="E92" s="671"/>
      <c r="F92" s="711">
        <f>F110</f>
        <v>0</v>
      </c>
      <c r="G92" s="712">
        <f>G110</f>
        <v>0</v>
      </c>
      <c r="H92" s="712">
        <f t="shared" ref="H92:Q92" si="30">H110</f>
        <v>0</v>
      </c>
      <c r="I92" s="712">
        <f t="shared" si="30"/>
        <v>0</v>
      </c>
      <c r="J92" s="712">
        <f t="shared" si="30"/>
        <v>0</v>
      </c>
      <c r="K92" s="712">
        <f t="shared" si="30"/>
        <v>0</v>
      </c>
      <c r="L92" s="712">
        <f t="shared" si="30"/>
        <v>0</v>
      </c>
      <c r="M92" s="712">
        <f t="shared" si="30"/>
        <v>0</v>
      </c>
      <c r="N92" s="712">
        <f t="shared" si="30"/>
        <v>0</v>
      </c>
      <c r="O92" s="712">
        <f t="shared" si="30"/>
        <v>0</v>
      </c>
      <c r="P92" s="712">
        <f t="shared" si="30"/>
        <v>0</v>
      </c>
      <c r="Q92" s="713" t="e">
        <f t="shared" si="30"/>
        <v>#REF!</v>
      </c>
      <c r="R92" s="674" t="e">
        <f t="shared" ref="R92:R101" si="31">SUM(F92:Q92)</f>
        <v>#REF!</v>
      </c>
    </row>
    <row r="93" spans="1:18" s="666" customFormat="1" outlineLevel="1">
      <c r="A93" s="710" t="s">
        <v>248</v>
      </c>
      <c r="B93" s="675"/>
      <c r="C93" s="676"/>
      <c r="D93" s="676"/>
      <c r="E93" s="677"/>
      <c r="F93" s="672"/>
      <c r="G93" s="688"/>
      <c r="H93" s="688"/>
      <c r="I93" s="688"/>
      <c r="J93" s="688"/>
      <c r="K93" s="688"/>
      <c r="L93" s="688"/>
      <c r="M93" s="688"/>
      <c r="N93" s="688"/>
      <c r="O93" s="688"/>
      <c r="P93" s="688"/>
      <c r="Q93" s="673"/>
      <c r="R93" s="674">
        <f t="shared" si="31"/>
        <v>0</v>
      </c>
    </row>
    <row r="94" spans="1:18" s="666" customFormat="1" ht="12.75" outlineLevel="1" thickBot="1">
      <c r="A94" s="714" t="s">
        <v>249</v>
      </c>
      <c r="B94" s="675"/>
      <c r="C94" s="676"/>
      <c r="D94" s="676"/>
      <c r="E94" s="677"/>
      <c r="F94" s="679"/>
      <c r="G94" s="680"/>
      <c r="H94" s="680"/>
      <c r="I94" s="680"/>
      <c r="J94" s="680"/>
      <c r="K94" s="680"/>
      <c r="L94" s="680"/>
      <c r="M94" s="680"/>
      <c r="N94" s="680"/>
      <c r="O94" s="680"/>
      <c r="P94" s="680"/>
      <c r="Q94" s="680"/>
      <c r="R94" s="681">
        <f t="shared" si="31"/>
        <v>0</v>
      </c>
    </row>
    <row r="95" spans="1:18" s="641" customFormat="1" ht="12.75" outlineLevel="1" thickBot="1">
      <c r="A95" s="715" t="s">
        <v>250</v>
      </c>
      <c r="B95" s="675"/>
      <c r="C95" s="676"/>
      <c r="D95" s="676"/>
      <c r="E95" s="677"/>
      <c r="F95" s="683"/>
      <c r="G95" s="655"/>
      <c r="H95" s="655"/>
      <c r="I95" s="655"/>
      <c r="J95" s="655"/>
      <c r="K95" s="655"/>
      <c r="L95" s="655"/>
      <c r="M95" s="655"/>
      <c r="N95" s="655"/>
      <c r="O95" s="655"/>
      <c r="P95" s="655"/>
      <c r="Q95" s="655"/>
      <c r="R95" s="684">
        <f t="shared" si="31"/>
        <v>0</v>
      </c>
    </row>
    <row r="96" spans="1:18" s="666" customFormat="1" outlineLevel="1">
      <c r="A96" s="718" t="s">
        <v>251</v>
      </c>
      <c r="B96" s="675"/>
      <c r="C96" s="676"/>
      <c r="D96" s="676"/>
      <c r="E96" s="677"/>
      <c r="F96" s="744"/>
      <c r="G96" s="688"/>
      <c r="H96" s="688"/>
      <c r="I96" s="688"/>
      <c r="J96" s="688"/>
      <c r="K96" s="688"/>
      <c r="L96" s="688"/>
      <c r="M96" s="688"/>
      <c r="N96" s="688"/>
      <c r="O96" s="688"/>
      <c r="P96" s="688"/>
      <c r="Q96" s="688" t="e">
        <f>Q91</f>
        <v>#REF!</v>
      </c>
      <c r="R96" s="689" t="e">
        <f t="shared" si="31"/>
        <v>#REF!</v>
      </c>
    </row>
    <row r="97" spans="1:18" s="666" customFormat="1" ht="24" outlineLevel="1">
      <c r="A97" s="722" t="s">
        <v>252</v>
      </c>
      <c r="B97" s="675"/>
      <c r="C97" s="676"/>
      <c r="D97" s="676"/>
      <c r="E97" s="677"/>
      <c r="F97" s="672"/>
      <c r="G97" s="673"/>
      <c r="H97" s="673"/>
      <c r="I97" s="673"/>
      <c r="J97" s="673"/>
      <c r="K97" s="673"/>
      <c r="L97" s="673"/>
      <c r="M97" s="673"/>
      <c r="N97" s="673"/>
      <c r="O97" s="673"/>
      <c r="P97" s="673"/>
      <c r="Q97" s="673"/>
      <c r="R97" s="674">
        <f t="shared" si="31"/>
        <v>0</v>
      </c>
    </row>
    <row r="98" spans="1:18" s="666" customFormat="1" outlineLevel="1">
      <c r="A98" s="722" t="s">
        <v>253</v>
      </c>
      <c r="B98" s="675"/>
      <c r="C98" s="676"/>
      <c r="D98" s="676"/>
      <c r="E98" s="677"/>
      <c r="F98" s="672"/>
      <c r="G98" s="673"/>
      <c r="H98" s="673"/>
      <c r="I98" s="673"/>
      <c r="J98" s="673"/>
      <c r="K98" s="673"/>
      <c r="L98" s="673"/>
      <c r="M98" s="673"/>
      <c r="N98" s="673"/>
      <c r="O98" s="673"/>
      <c r="P98" s="673"/>
      <c r="Q98" s="673"/>
      <c r="R98" s="674">
        <f t="shared" si="31"/>
        <v>0</v>
      </c>
    </row>
    <row r="99" spans="1:18" s="666" customFormat="1" outlineLevel="1">
      <c r="A99" s="722" t="s">
        <v>254</v>
      </c>
      <c r="B99" s="675"/>
      <c r="C99" s="676"/>
      <c r="D99" s="676"/>
      <c r="E99" s="677"/>
      <c r="F99" s="672"/>
      <c r="G99" s="673"/>
      <c r="H99" s="673"/>
      <c r="I99" s="673"/>
      <c r="J99" s="673"/>
      <c r="K99" s="673"/>
      <c r="L99" s="673"/>
      <c r="M99" s="673"/>
      <c r="N99" s="673"/>
      <c r="O99" s="673"/>
      <c r="P99" s="673"/>
      <c r="Q99" s="673"/>
      <c r="R99" s="674">
        <f t="shared" si="31"/>
        <v>0</v>
      </c>
    </row>
    <row r="100" spans="1:18" s="666" customFormat="1" outlineLevel="1">
      <c r="A100" s="722" t="s">
        <v>255</v>
      </c>
      <c r="B100" s="675"/>
      <c r="C100" s="676"/>
      <c r="D100" s="676"/>
      <c r="E100" s="677"/>
      <c r="F100" s="672"/>
      <c r="G100" s="673"/>
      <c r="H100" s="673"/>
      <c r="I100" s="673"/>
      <c r="J100" s="673"/>
      <c r="K100" s="673"/>
      <c r="L100" s="673"/>
      <c r="M100" s="673"/>
      <c r="N100" s="673"/>
      <c r="O100" s="673"/>
      <c r="P100" s="673"/>
      <c r="Q100" s="673"/>
      <c r="R100" s="674">
        <f t="shared" si="31"/>
        <v>0</v>
      </c>
    </row>
    <row r="101" spans="1:18" s="666" customFormat="1" outlineLevel="1">
      <c r="A101" s="725" t="s">
        <v>256</v>
      </c>
      <c r="B101" s="694"/>
      <c r="C101" s="695"/>
      <c r="D101" s="696"/>
      <c r="E101" s="697"/>
      <c r="F101" s="698" t="e">
        <f t="shared" ref="F101:Q101" si="32">(F91+G91)/2*F$4</f>
        <v>#REF!</v>
      </c>
      <c r="G101" s="698" t="e">
        <f t="shared" si="32"/>
        <v>#REF!</v>
      </c>
      <c r="H101" s="698" t="e">
        <f t="shared" si="32"/>
        <v>#REF!</v>
      </c>
      <c r="I101" s="698" t="e">
        <f t="shared" si="32"/>
        <v>#REF!</v>
      </c>
      <c r="J101" s="698" t="e">
        <f t="shared" si="32"/>
        <v>#REF!</v>
      </c>
      <c r="K101" s="698" t="e">
        <f t="shared" si="32"/>
        <v>#REF!</v>
      </c>
      <c r="L101" s="698" t="e">
        <f t="shared" si="32"/>
        <v>#REF!</v>
      </c>
      <c r="M101" s="698" t="e">
        <f t="shared" si="32"/>
        <v>#REF!</v>
      </c>
      <c r="N101" s="698" t="e">
        <f t="shared" si="32"/>
        <v>#REF!</v>
      </c>
      <c r="O101" s="698" t="e">
        <f t="shared" si="32"/>
        <v>#REF!</v>
      </c>
      <c r="P101" s="698" t="e">
        <f t="shared" si="32"/>
        <v>#REF!</v>
      </c>
      <c r="Q101" s="698" t="e">
        <f t="shared" si="32"/>
        <v>#REF!</v>
      </c>
      <c r="R101" s="699" t="e">
        <f t="shared" si="31"/>
        <v>#REF!</v>
      </c>
    </row>
    <row r="102" spans="1:18" s="666" customFormat="1" ht="12.75" outlineLevel="1" thickBot="1">
      <c r="A102" s="700" t="s">
        <v>257</v>
      </c>
      <c r="B102" s="701"/>
      <c r="C102" s="701"/>
      <c r="D102" s="702"/>
      <c r="E102" s="703"/>
      <c r="F102" s="704" t="e">
        <f t="shared" ref="F102:Q102" si="33">F101/F$4</f>
        <v>#REF!</v>
      </c>
      <c r="G102" s="705" t="e">
        <f t="shared" si="33"/>
        <v>#REF!</v>
      </c>
      <c r="H102" s="705" t="e">
        <f t="shared" si="33"/>
        <v>#REF!</v>
      </c>
      <c r="I102" s="705" t="e">
        <f t="shared" si="33"/>
        <v>#REF!</v>
      </c>
      <c r="J102" s="705" t="e">
        <f t="shared" si="33"/>
        <v>#REF!</v>
      </c>
      <c r="K102" s="705" t="e">
        <f t="shared" si="33"/>
        <v>#REF!</v>
      </c>
      <c r="L102" s="705" t="e">
        <f t="shared" si="33"/>
        <v>#REF!</v>
      </c>
      <c r="M102" s="705" t="e">
        <f t="shared" si="33"/>
        <v>#REF!</v>
      </c>
      <c r="N102" s="705" t="e">
        <f t="shared" si="33"/>
        <v>#REF!</v>
      </c>
      <c r="O102" s="705" t="e">
        <f t="shared" si="33"/>
        <v>#REF!</v>
      </c>
      <c r="P102" s="705" t="e">
        <f t="shared" si="33"/>
        <v>#REF!</v>
      </c>
      <c r="Q102" s="705" t="e">
        <f t="shared" si="33"/>
        <v>#REF!</v>
      </c>
      <c r="R102" s="706" t="e">
        <f>R101/R$4</f>
        <v>#REF!</v>
      </c>
    </row>
    <row r="103" spans="1:18" s="641" customFormat="1" ht="12.75" thickBot="1">
      <c r="A103" s="650" t="s">
        <v>266</v>
      </c>
      <c r="B103" s="651"/>
      <c r="C103" s="651"/>
      <c r="D103" s="652"/>
      <c r="E103" s="652"/>
      <c r="F103" s="651"/>
      <c r="G103" s="651"/>
      <c r="H103" s="651"/>
      <c r="I103" s="651"/>
      <c r="J103" s="651"/>
      <c r="K103" s="651"/>
      <c r="L103" s="651"/>
      <c r="M103" s="651"/>
      <c r="N103" s="651"/>
      <c r="O103" s="651"/>
      <c r="P103" s="651"/>
      <c r="Q103" s="651"/>
      <c r="R103" s="653"/>
    </row>
    <row r="104" spans="1:18" s="641" customFormat="1" ht="12.75" outlineLevel="1" thickBot="1">
      <c r="A104" s="654" t="s">
        <v>245</v>
      </c>
      <c r="B104" s="655"/>
      <c r="C104" s="655"/>
      <c r="D104" s="656"/>
      <c r="E104" s="657"/>
      <c r="F104" s="655"/>
      <c r="G104" s="655"/>
      <c r="H104" s="655"/>
      <c r="I104" s="655"/>
      <c r="J104" s="655"/>
      <c r="K104" s="655"/>
      <c r="L104" s="655"/>
      <c r="M104" s="655"/>
      <c r="N104" s="655"/>
      <c r="O104" s="655"/>
      <c r="P104" s="655"/>
      <c r="Q104" s="655"/>
      <c r="R104" s="658"/>
    </row>
    <row r="105" spans="1:18" s="666" customFormat="1" outlineLevel="1">
      <c r="A105" s="659" t="s">
        <v>259</v>
      </c>
      <c r="B105" s="707" t="e">
        <f>'КРМД-24'!R105</f>
        <v>#REF!</v>
      </c>
      <c r="C105" s="660" t="e">
        <f>B105</f>
        <v>#REF!</v>
      </c>
      <c r="D105" s="708" t="e">
        <f>+B105*0.18</f>
        <v>#REF!</v>
      </c>
      <c r="E105" s="662" t="e">
        <f>B105*45</f>
        <v>#REF!</v>
      </c>
      <c r="F105" s="663" t="e">
        <f>B105</f>
        <v>#REF!</v>
      </c>
      <c r="G105" s="709" t="e">
        <f t="shared" ref="G105:Q105" si="34">(F105+F106+F107+F108-F110-F111-F112-F113-F114)</f>
        <v>#REF!</v>
      </c>
      <c r="H105" s="709" t="e">
        <f t="shared" si="34"/>
        <v>#REF!</v>
      </c>
      <c r="I105" s="709" t="e">
        <f t="shared" si="34"/>
        <v>#REF!</v>
      </c>
      <c r="J105" s="709" t="e">
        <f t="shared" si="34"/>
        <v>#REF!</v>
      </c>
      <c r="K105" s="709" t="e">
        <f t="shared" si="34"/>
        <v>#REF!</v>
      </c>
      <c r="L105" s="709" t="e">
        <f t="shared" si="34"/>
        <v>#REF!</v>
      </c>
      <c r="M105" s="709" t="e">
        <f t="shared" si="34"/>
        <v>#REF!</v>
      </c>
      <c r="N105" s="709" t="e">
        <f t="shared" si="34"/>
        <v>#REF!</v>
      </c>
      <c r="O105" s="709" t="e">
        <f t="shared" si="34"/>
        <v>#REF!</v>
      </c>
      <c r="P105" s="709" t="e">
        <f t="shared" si="34"/>
        <v>#REF!</v>
      </c>
      <c r="Q105" s="664" t="e">
        <f t="shared" si="34"/>
        <v>#REF!</v>
      </c>
      <c r="R105" s="665" t="e">
        <f>(Q105+Q106+Q107+Q108-Q110-Q111-Q112-Q113-Q114)</f>
        <v>#REF!</v>
      </c>
    </row>
    <row r="106" spans="1:18" s="666" customFormat="1" outlineLevel="1">
      <c r="A106" s="710" t="s">
        <v>247</v>
      </c>
      <c r="B106" s="668"/>
      <c r="C106" s="669"/>
      <c r="D106" s="670"/>
      <c r="E106" s="671"/>
      <c r="F106" s="711">
        <f t="shared" ref="F106:Q106" si="35">F166</f>
        <v>0</v>
      </c>
      <c r="G106" s="712">
        <f t="shared" si="35"/>
        <v>0</v>
      </c>
      <c r="H106" s="712">
        <f t="shared" si="35"/>
        <v>0</v>
      </c>
      <c r="I106" s="712">
        <f t="shared" si="35"/>
        <v>0</v>
      </c>
      <c r="J106" s="712">
        <f t="shared" si="35"/>
        <v>0</v>
      </c>
      <c r="K106" s="712">
        <f t="shared" si="35"/>
        <v>0</v>
      </c>
      <c r="L106" s="712">
        <f t="shared" si="35"/>
        <v>0</v>
      </c>
      <c r="M106" s="712">
        <f t="shared" si="35"/>
        <v>0</v>
      </c>
      <c r="N106" s="712">
        <f t="shared" si="35"/>
        <v>0</v>
      </c>
      <c r="O106" s="712">
        <f t="shared" si="35"/>
        <v>0</v>
      </c>
      <c r="P106" s="712">
        <f t="shared" si="35"/>
        <v>0</v>
      </c>
      <c r="Q106" s="713" t="e">
        <f t="shared" si="35"/>
        <v>#REF!</v>
      </c>
      <c r="R106" s="674" t="e">
        <f t="shared" ref="R106:R115" si="36">SUM(F106:Q106)</f>
        <v>#REF!</v>
      </c>
    </row>
    <row r="107" spans="1:18" s="666" customFormat="1" outlineLevel="1">
      <c r="A107" s="710" t="s">
        <v>248</v>
      </c>
      <c r="B107" s="675"/>
      <c r="C107" s="676"/>
      <c r="D107" s="676"/>
      <c r="E107" s="677"/>
      <c r="F107" s="672"/>
      <c r="G107" s="688"/>
      <c r="H107" s="688"/>
      <c r="I107" s="688"/>
      <c r="J107" s="688"/>
      <c r="K107" s="688"/>
      <c r="L107" s="688"/>
      <c r="M107" s="688"/>
      <c r="N107" s="688"/>
      <c r="O107" s="688"/>
      <c r="P107" s="688"/>
      <c r="Q107" s="673"/>
      <c r="R107" s="674">
        <f t="shared" si="36"/>
        <v>0</v>
      </c>
    </row>
    <row r="108" spans="1:18" s="666" customFormat="1" ht="12.75" outlineLevel="1" thickBot="1">
      <c r="A108" s="714" t="s">
        <v>249</v>
      </c>
      <c r="B108" s="675"/>
      <c r="C108" s="676"/>
      <c r="D108" s="676"/>
      <c r="E108" s="677"/>
      <c r="F108" s="679"/>
      <c r="G108" s="680"/>
      <c r="H108" s="680"/>
      <c r="I108" s="680"/>
      <c r="J108" s="680"/>
      <c r="K108" s="680"/>
      <c r="L108" s="680"/>
      <c r="M108" s="680"/>
      <c r="N108" s="680"/>
      <c r="O108" s="680"/>
      <c r="P108" s="680"/>
      <c r="Q108" s="680"/>
      <c r="R108" s="681">
        <f t="shared" si="36"/>
        <v>0</v>
      </c>
    </row>
    <row r="109" spans="1:18" s="641" customFormat="1" ht="12.75" outlineLevel="1" thickBot="1">
      <c r="A109" s="715" t="s">
        <v>250</v>
      </c>
      <c r="B109" s="675"/>
      <c r="C109" s="676"/>
      <c r="D109" s="676"/>
      <c r="E109" s="677"/>
      <c r="F109" s="683"/>
      <c r="G109" s="655"/>
      <c r="H109" s="655"/>
      <c r="I109" s="655"/>
      <c r="J109" s="655"/>
      <c r="K109" s="655"/>
      <c r="L109" s="655"/>
      <c r="M109" s="655"/>
      <c r="N109" s="655"/>
      <c r="O109" s="655"/>
      <c r="P109" s="655"/>
      <c r="Q109" s="655"/>
      <c r="R109" s="684">
        <f t="shared" si="36"/>
        <v>0</v>
      </c>
    </row>
    <row r="110" spans="1:18" s="666" customFormat="1" outlineLevel="1">
      <c r="A110" s="718" t="s">
        <v>251</v>
      </c>
      <c r="B110" s="675"/>
      <c r="C110" s="676"/>
      <c r="D110" s="676"/>
      <c r="E110" s="677"/>
      <c r="F110" s="744"/>
      <c r="G110" s="688"/>
      <c r="H110" s="688"/>
      <c r="I110" s="688"/>
      <c r="J110" s="688"/>
      <c r="K110" s="688"/>
      <c r="L110" s="688"/>
      <c r="M110" s="688"/>
      <c r="N110" s="688"/>
      <c r="O110" s="688"/>
      <c r="P110" s="688"/>
      <c r="Q110" s="688" t="e">
        <f>Q105</f>
        <v>#REF!</v>
      </c>
      <c r="R110" s="689" t="e">
        <f t="shared" si="36"/>
        <v>#REF!</v>
      </c>
    </row>
    <row r="111" spans="1:18" s="666" customFormat="1" ht="22.5" customHeight="1" outlineLevel="1">
      <c r="A111" s="722" t="s">
        <v>252</v>
      </c>
      <c r="B111" s="675"/>
      <c r="C111" s="676"/>
      <c r="D111" s="676"/>
      <c r="E111" s="677"/>
      <c r="F111" s="672"/>
      <c r="G111" s="673"/>
      <c r="H111" s="673"/>
      <c r="I111" s="673"/>
      <c r="J111" s="673"/>
      <c r="K111" s="673"/>
      <c r="L111" s="673"/>
      <c r="M111" s="673"/>
      <c r="N111" s="673"/>
      <c r="O111" s="673"/>
      <c r="P111" s="673"/>
      <c r="Q111" s="673"/>
      <c r="R111" s="674">
        <f t="shared" si="36"/>
        <v>0</v>
      </c>
    </row>
    <row r="112" spans="1:18" s="666" customFormat="1" outlineLevel="1">
      <c r="A112" s="722" t="s">
        <v>253</v>
      </c>
      <c r="B112" s="675"/>
      <c r="C112" s="676"/>
      <c r="D112" s="676"/>
      <c r="E112" s="677"/>
      <c r="F112" s="672"/>
      <c r="G112" s="673"/>
      <c r="H112" s="673"/>
      <c r="I112" s="673"/>
      <c r="J112" s="673"/>
      <c r="K112" s="673"/>
      <c r="L112" s="673"/>
      <c r="M112" s="673"/>
      <c r="N112" s="673"/>
      <c r="O112" s="673"/>
      <c r="P112" s="673"/>
      <c r="Q112" s="673"/>
      <c r="R112" s="674">
        <f t="shared" si="36"/>
        <v>0</v>
      </c>
    </row>
    <row r="113" spans="1:18" s="666" customFormat="1" outlineLevel="1">
      <c r="A113" s="722" t="s">
        <v>254</v>
      </c>
      <c r="B113" s="675"/>
      <c r="C113" s="676"/>
      <c r="D113" s="676"/>
      <c r="E113" s="677"/>
      <c r="F113" s="672"/>
      <c r="G113" s="673"/>
      <c r="H113" s="673"/>
      <c r="I113" s="673"/>
      <c r="J113" s="673"/>
      <c r="K113" s="673"/>
      <c r="L113" s="673"/>
      <c r="M113" s="673"/>
      <c r="N113" s="673"/>
      <c r="O113" s="673"/>
      <c r="P113" s="673"/>
      <c r="Q113" s="673"/>
      <c r="R113" s="674">
        <f t="shared" si="36"/>
        <v>0</v>
      </c>
    </row>
    <row r="114" spans="1:18" s="666" customFormat="1" outlineLevel="1">
      <c r="A114" s="722" t="s">
        <v>255</v>
      </c>
      <c r="B114" s="675"/>
      <c r="C114" s="676"/>
      <c r="D114" s="676"/>
      <c r="E114" s="677"/>
      <c r="F114" s="672"/>
      <c r="G114" s="673"/>
      <c r="H114" s="673"/>
      <c r="I114" s="673"/>
      <c r="J114" s="673"/>
      <c r="K114" s="673"/>
      <c r="L114" s="673"/>
      <c r="M114" s="673"/>
      <c r="N114" s="673"/>
      <c r="O114" s="673"/>
      <c r="P114" s="673"/>
      <c r="Q114" s="673"/>
      <c r="R114" s="674">
        <f t="shared" si="36"/>
        <v>0</v>
      </c>
    </row>
    <row r="115" spans="1:18" s="666" customFormat="1" outlineLevel="1">
      <c r="A115" s="725" t="s">
        <v>256</v>
      </c>
      <c r="B115" s="694"/>
      <c r="C115" s="695"/>
      <c r="D115" s="696"/>
      <c r="E115" s="697"/>
      <c r="F115" s="698" t="e">
        <f t="shared" ref="F115:Q115" si="37">(F105+G105)/2*F$4</f>
        <v>#REF!</v>
      </c>
      <c r="G115" s="698" t="e">
        <f t="shared" si="37"/>
        <v>#REF!</v>
      </c>
      <c r="H115" s="698" t="e">
        <f t="shared" si="37"/>
        <v>#REF!</v>
      </c>
      <c r="I115" s="698" t="e">
        <f t="shared" si="37"/>
        <v>#REF!</v>
      </c>
      <c r="J115" s="698" t="e">
        <f t="shared" si="37"/>
        <v>#REF!</v>
      </c>
      <c r="K115" s="698" t="e">
        <f t="shared" si="37"/>
        <v>#REF!</v>
      </c>
      <c r="L115" s="698" t="e">
        <f t="shared" si="37"/>
        <v>#REF!</v>
      </c>
      <c r="M115" s="698" t="e">
        <f t="shared" si="37"/>
        <v>#REF!</v>
      </c>
      <c r="N115" s="698" t="e">
        <f t="shared" si="37"/>
        <v>#REF!</v>
      </c>
      <c r="O115" s="698" t="e">
        <f t="shared" si="37"/>
        <v>#REF!</v>
      </c>
      <c r="P115" s="698" t="e">
        <f t="shared" si="37"/>
        <v>#REF!</v>
      </c>
      <c r="Q115" s="698" t="e">
        <f t="shared" si="37"/>
        <v>#REF!</v>
      </c>
      <c r="R115" s="699" t="e">
        <f t="shared" si="36"/>
        <v>#REF!</v>
      </c>
    </row>
    <row r="116" spans="1:18" s="666" customFormat="1" ht="12.75" outlineLevel="1" thickBot="1">
      <c r="A116" s="700" t="s">
        <v>257</v>
      </c>
      <c r="B116" s="701"/>
      <c r="C116" s="701"/>
      <c r="D116" s="702"/>
      <c r="E116" s="703"/>
      <c r="F116" s="704" t="e">
        <f t="shared" ref="F116:Q116" si="38">F115/F$4</f>
        <v>#REF!</v>
      </c>
      <c r="G116" s="705" t="e">
        <f t="shared" si="38"/>
        <v>#REF!</v>
      </c>
      <c r="H116" s="705" t="e">
        <f t="shared" si="38"/>
        <v>#REF!</v>
      </c>
      <c r="I116" s="705" t="e">
        <f t="shared" si="38"/>
        <v>#REF!</v>
      </c>
      <c r="J116" s="705" t="e">
        <f t="shared" si="38"/>
        <v>#REF!</v>
      </c>
      <c r="K116" s="705" t="e">
        <f t="shared" si="38"/>
        <v>#REF!</v>
      </c>
      <c r="L116" s="705" t="e">
        <f t="shared" si="38"/>
        <v>#REF!</v>
      </c>
      <c r="M116" s="705" t="e">
        <f t="shared" si="38"/>
        <v>#REF!</v>
      </c>
      <c r="N116" s="705" t="e">
        <f t="shared" si="38"/>
        <v>#REF!</v>
      </c>
      <c r="O116" s="705" t="e">
        <f t="shared" si="38"/>
        <v>#REF!</v>
      </c>
      <c r="P116" s="705" t="e">
        <f t="shared" si="38"/>
        <v>#REF!</v>
      </c>
      <c r="Q116" s="705" t="e">
        <f t="shared" si="38"/>
        <v>#REF!</v>
      </c>
      <c r="R116" s="706" t="e">
        <f>R115/R$4</f>
        <v>#REF!</v>
      </c>
    </row>
    <row r="117" spans="1:18" s="641" customFormat="1" ht="12.75" thickBot="1">
      <c r="A117" s="650" t="s">
        <v>267</v>
      </c>
      <c r="B117" s="651"/>
      <c r="C117" s="651"/>
      <c r="D117" s="652"/>
      <c r="E117" s="652"/>
      <c r="F117" s="651"/>
      <c r="G117" s="651"/>
      <c r="H117" s="651"/>
      <c r="I117" s="651"/>
      <c r="J117" s="651"/>
      <c r="K117" s="651"/>
      <c r="L117" s="651"/>
      <c r="M117" s="651"/>
      <c r="N117" s="651"/>
      <c r="O117" s="651"/>
      <c r="P117" s="651"/>
      <c r="Q117" s="651"/>
      <c r="R117" s="653"/>
    </row>
    <row r="118" spans="1:18" s="641" customFormat="1" ht="12.75" outlineLevel="1" thickBot="1">
      <c r="A118" s="654" t="s">
        <v>245</v>
      </c>
      <c r="B118" s="655"/>
      <c r="C118" s="655"/>
      <c r="D118" s="656"/>
      <c r="E118" s="657"/>
      <c r="F118" s="655"/>
      <c r="G118" s="655"/>
      <c r="H118" s="655"/>
      <c r="I118" s="655"/>
      <c r="J118" s="655"/>
      <c r="K118" s="655"/>
      <c r="L118" s="655"/>
      <c r="M118" s="655"/>
      <c r="N118" s="655"/>
      <c r="O118" s="655"/>
      <c r="P118" s="655"/>
      <c r="Q118" s="655"/>
      <c r="R118" s="658"/>
    </row>
    <row r="119" spans="1:18" s="666" customFormat="1" outlineLevel="1">
      <c r="A119" s="659" t="s">
        <v>259</v>
      </c>
      <c r="B119" s="707" t="e">
        <f>'КРМД-24'!R119</f>
        <v>#REF!</v>
      </c>
      <c r="C119" s="660" t="e">
        <f>B119</f>
        <v>#REF!</v>
      </c>
      <c r="D119" s="708" t="e">
        <f>+B119*0.32</f>
        <v>#REF!</v>
      </c>
      <c r="E119" s="662"/>
      <c r="F119" s="663">
        <v>0</v>
      </c>
      <c r="G119" s="709">
        <f t="shared" ref="G119:Q119" si="39">(F119+F120+F121+F122-F124-F125-F126-F127-F128)</f>
        <v>0</v>
      </c>
      <c r="H119" s="709">
        <f t="shared" si="39"/>
        <v>0</v>
      </c>
      <c r="I119" s="709">
        <f t="shared" si="39"/>
        <v>0</v>
      </c>
      <c r="J119" s="709">
        <f t="shared" si="39"/>
        <v>0</v>
      </c>
      <c r="K119" s="709">
        <f t="shared" si="39"/>
        <v>0</v>
      </c>
      <c r="L119" s="709">
        <f t="shared" si="39"/>
        <v>0</v>
      </c>
      <c r="M119" s="709">
        <f t="shared" si="39"/>
        <v>0</v>
      </c>
      <c r="N119" s="709">
        <f t="shared" si="39"/>
        <v>0</v>
      </c>
      <c r="O119" s="709">
        <f t="shared" si="39"/>
        <v>0</v>
      </c>
      <c r="P119" s="709">
        <f t="shared" si="39"/>
        <v>0</v>
      </c>
      <c r="Q119" s="664" t="e">
        <f t="shared" si="39"/>
        <v>#REF!</v>
      </c>
      <c r="R119" s="665" t="e">
        <f>(Q119+Q120+Q121+Q122-Q124-Q125-Q126-Q127-Q128)</f>
        <v>#REF!</v>
      </c>
    </row>
    <row r="120" spans="1:18" s="666" customFormat="1" outlineLevel="1">
      <c r="A120" s="710" t="s">
        <v>247</v>
      </c>
      <c r="B120" s="668"/>
      <c r="C120" s="669"/>
      <c r="D120" s="670"/>
      <c r="E120" s="671"/>
      <c r="F120" s="711">
        <f>F138</f>
        <v>0</v>
      </c>
      <c r="G120" s="712">
        <f t="shared" ref="G120:Q120" si="40">G138</f>
        <v>0</v>
      </c>
      <c r="H120" s="712">
        <f t="shared" si="40"/>
        <v>0</v>
      </c>
      <c r="I120" s="712">
        <f t="shared" si="40"/>
        <v>0</v>
      </c>
      <c r="J120" s="712">
        <f t="shared" si="40"/>
        <v>0</v>
      </c>
      <c r="K120" s="712">
        <f t="shared" si="40"/>
        <v>0</v>
      </c>
      <c r="L120" s="712">
        <f t="shared" si="40"/>
        <v>0</v>
      </c>
      <c r="M120" s="712">
        <f t="shared" si="40"/>
        <v>0</v>
      </c>
      <c r="N120" s="712">
        <f t="shared" si="40"/>
        <v>0</v>
      </c>
      <c r="O120" s="712">
        <f t="shared" si="40"/>
        <v>0</v>
      </c>
      <c r="P120" s="712">
        <f t="shared" si="40"/>
        <v>0</v>
      </c>
      <c r="Q120" s="713">
        <f t="shared" si="40"/>
        <v>0</v>
      </c>
      <c r="R120" s="674">
        <f t="shared" ref="R120:R129" si="41">SUM(F120:Q120)</f>
        <v>0</v>
      </c>
    </row>
    <row r="121" spans="1:18" s="666" customFormat="1" outlineLevel="1">
      <c r="A121" s="710" t="s">
        <v>248</v>
      </c>
      <c r="B121" s="675"/>
      <c r="C121" s="676"/>
      <c r="D121" s="676"/>
      <c r="E121" s="677"/>
      <c r="F121" s="672"/>
      <c r="G121" s="688"/>
      <c r="H121" s="688"/>
      <c r="I121" s="688"/>
      <c r="J121" s="688"/>
      <c r="K121" s="688"/>
      <c r="L121" s="688"/>
      <c r="M121" s="688"/>
      <c r="N121" s="688"/>
      <c r="O121" s="688"/>
      <c r="P121" s="688"/>
      <c r="Q121" s="673"/>
      <c r="R121" s="674">
        <f t="shared" si="41"/>
        <v>0</v>
      </c>
    </row>
    <row r="122" spans="1:18" s="666" customFormat="1" ht="12.75" outlineLevel="1" thickBot="1">
      <c r="A122" s="714" t="s">
        <v>249</v>
      </c>
      <c r="B122" s="675"/>
      <c r="C122" s="676"/>
      <c r="D122" s="676"/>
      <c r="E122" s="677"/>
      <c r="F122" s="679"/>
      <c r="G122" s="680"/>
      <c r="H122" s="680"/>
      <c r="I122" s="680"/>
      <c r="J122" s="680"/>
      <c r="K122" s="680"/>
      <c r="L122" s="680"/>
      <c r="M122" s="680"/>
      <c r="N122" s="680"/>
      <c r="O122" s="680"/>
      <c r="P122" s="680"/>
      <c r="Q122" s="680"/>
      <c r="R122" s="681">
        <f t="shared" si="41"/>
        <v>0</v>
      </c>
    </row>
    <row r="123" spans="1:18" s="641" customFormat="1" ht="12.75" outlineLevel="1" thickBot="1">
      <c r="A123" s="715" t="s">
        <v>250</v>
      </c>
      <c r="B123" s="675"/>
      <c r="C123" s="676"/>
      <c r="D123" s="676"/>
      <c r="E123" s="677"/>
      <c r="F123" s="683"/>
      <c r="G123" s="655"/>
      <c r="H123" s="655"/>
      <c r="I123" s="655"/>
      <c r="J123" s="655"/>
      <c r="K123" s="655"/>
      <c r="L123" s="655"/>
      <c r="M123" s="655"/>
      <c r="N123" s="655"/>
      <c r="O123" s="655"/>
      <c r="P123" s="655"/>
      <c r="Q123" s="655"/>
      <c r="R123" s="684">
        <f t="shared" si="41"/>
        <v>0</v>
      </c>
    </row>
    <row r="124" spans="1:18" s="666" customFormat="1" outlineLevel="1">
      <c r="A124" s="718" t="s">
        <v>251</v>
      </c>
      <c r="B124" s="675"/>
      <c r="C124" s="676"/>
      <c r="D124" s="676"/>
      <c r="E124" s="677"/>
      <c r="F124" s="744"/>
      <c r="G124" s="688"/>
      <c r="H124" s="688"/>
      <c r="I124" s="688"/>
      <c r="J124" s="688"/>
      <c r="K124" s="688"/>
      <c r="L124" s="688"/>
      <c r="M124" s="688"/>
      <c r="N124" s="688"/>
      <c r="O124" s="688"/>
      <c r="P124" s="688"/>
      <c r="Q124" s="688"/>
      <c r="R124" s="689">
        <f t="shared" si="41"/>
        <v>0</v>
      </c>
    </row>
    <row r="125" spans="1:18" s="666" customFormat="1" ht="22.5" customHeight="1" outlineLevel="1">
      <c r="A125" s="722" t="s">
        <v>252</v>
      </c>
      <c r="B125" s="675"/>
      <c r="C125" s="676"/>
      <c r="D125" s="676"/>
      <c r="E125" s="677"/>
      <c r="F125" s="672"/>
      <c r="G125" s="673"/>
      <c r="H125" s="673"/>
      <c r="I125" s="673"/>
      <c r="J125" s="673"/>
      <c r="K125" s="673"/>
      <c r="L125" s="673"/>
      <c r="M125" s="673"/>
      <c r="N125" s="673"/>
      <c r="O125" s="673"/>
      <c r="P125" s="673" t="e">
        <f>B119</f>
        <v>#REF!</v>
      </c>
      <c r="Q125" s="673"/>
      <c r="R125" s="674" t="e">
        <f t="shared" si="41"/>
        <v>#REF!</v>
      </c>
    </row>
    <row r="126" spans="1:18" s="666" customFormat="1" outlineLevel="1">
      <c r="A126" s="722" t="s">
        <v>253</v>
      </c>
      <c r="B126" s="675"/>
      <c r="C126" s="676"/>
      <c r="D126" s="676"/>
      <c r="E126" s="677"/>
      <c r="F126" s="672"/>
      <c r="G126" s="673"/>
      <c r="H126" s="673"/>
      <c r="I126" s="673"/>
      <c r="J126" s="673"/>
      <c r="K126" s="673"/>
      <c r="L126" s="673"/>
      <c r="M126" s="673"/>
      <c r="N126" s="673"/>
      <c r="O126" s="673"/>
      <c r="P126" s="673"/>
      <c r="Q126" s="673"/>
      <c r="R126" s="674">
        <f t="shared" si="41"/>
        <v>0</v>
      </c>
    </row>
    <row r="127" spans="1:18" s="666" customFormat="1" outlineLevel="1">
      <c r="A127" s="722" t="s">
        <v>254</v>
      </c>
      <c r="B127" s="675"/>
      <c r="C127" s="676"/>
      <c r="D127" s="676"/>
      <c r="E127" s="677"/>
      <c r="F127" s="672"/>
      <c r="G127" s="673"/>
      <c r="H127" s="673"/>
      <c r="I127" s="673"/>
      <c r="J127" s="673"/>
      <c r="K127" s="673"/>
      <c r="L127" s="673"/>
      <c r="M127" s="673"/>
      <c r="N127" s="673"/>
      <c r="O127" s="673"/>
      <c r="P127" s="673"/>
      <c r="Q127" s="673"/>
      <c r="R127" s="674">
        <f t="shared" si="41"/>
        <v>0</v>
      </c>
    </row>
    <row r="128" spans="1:18" s="666" customFormat="1" outlineLevel="1">
      <c r="A128" s="722" t="s">
        <v>255</v>
      </c>
      <c r="B128" s="675"/>
      <c r="C128" s="676"/>
      <c r="D128" s="676"/>
      <c r="E128" s="677"/>
      <c r="F128" s="672"/>
      <c r="G128" s="673"/>
      <c r="H128" s="673"/>
      <c r="I128" s="673"/>
      <c r="J128" s="673"/>
      <c r="K128" s="673"/>
      <c r="L128" s="673"/>
      <c r="M128" s="673"/>
      <c r="N128" s="673"/>
      <c r="O128" s="673"/>
      <c r="P128" s="673"/>
      <c r="Q128" s="673"/>
      <c r="R128" s="674">
        <f t="shared" si="41"/>
        <v>0</v>
      </c>
    </row>
    <row r="129" spans="1:18" s="666" customFormat="1" outlineLevel="1">
      <c r="A129" s="725" t="s">
        <v>256</v>
      </c>
      <c r="B129" s="694"/>
      <c r="C129" s="695"/>
      <c r="D129" s="696"/>
      <c r="E129" s="697"/>
      <c r="F129" s="698">
        <f>(F119+G119)/2*F$4</f>
        <v>0</v>
      </c>
      <c r="G129" s="698">
        <f t="shared" ref="G129:P129" si="42">(G119+H119)/2*G$4</f>
        <v>0</v>
      </c>
      <c r="H129" s="698">
        <f t="shared" si="42"/>
        <v>0</v>
      </c>
      <c r="I129" s="698">
        <f t="shared" si="42"/>
        <v>0</v>
      </c>
      <c r="J129" s="698">
        <f t="shared" si="42"/>
        <v>0</v>
      </c>
      <c r="K129" s="698">
        <f t="shared" si="42"/>
        <v>0</v>
      </c>
      <c r="L129" s="698">
        <f t="shared" si="42"/>
        <v>0</v>
      </c>
      <c r="M129" s="698">
        <f t="shared" si="42"/>
        <v>0</v>
      </c>
      <c r="N129" s="698">
        <f t="shared" si="42"/>
        <v>0</v>
      </c>
      <c r="O129" s="698">
        <f t="shared" si="42"/>
        <v>0</v>
      </c>
      <c r="P129" s="698" t="e">
        <f t="shared" si="42"/>
        <v>#REF!</v>
      </c>
      <c r="Q129" s="698">
        <v>0</v>
      </c>
      <c r="R129" s="699" t="e">
        <f t="shared" si="41"/>
        <v>#REF!</v>
      </c>
    </row>
    <row r="130" spans="1:18" s="666" customFormat="1" ht="12.75" outlineLevel="1" thickBot="1">
      <c r="A130" s="700" t="s">
        <v>257</v>
      </c>
      <c r="B130" s="701"/>
      <c r="C130" s="701"/>
      <c r="D130" s="702"/>
      <c r="E130" s="703"/>
      <c r="F130" s="704">
        <f t="shared" ref="F130:Q130" si="43">F129/F$4</f>
        <v>0</v>
      </c>
      <c r="G130" s="705">
        <f t="shared" si="43"/>
        <v>0</v>
      </c>
      <c r="H130" s="705">
        <f t="shared" si="43"/>
        <v>0</v>
      </c>
      <c r="I130" s="705">
        <f t="shared" si="43"/>
        <v>0</v>
      </c>
      <c r="J130" s="705">
        <f t="shared" si="43"/>
        <v>0</v>
      </c>
      <c r="K130" s="705">
        <f t="shared" si="43"/>
        <v>0</v>
      </c>
      <c r="L130" s="705">
        <f t="shared" si="43"/>
        <v>0</v>
      </c>
      <c r="M130" s="705">
        <f t="shared" si="43"/>
        <v>0</v>
      </c>
      <c r="N130" s="705">
        <f t="shared" si="43"/>
        <v>0</v>
      </c>
      <c r="O130" s="705">
        <f t="shared" si="43"/>
        <v>0</v>
      </c>
      <c r="P130" s="705" t="e">
        <f t="shared" si="43"/>
        <v>#REF!</v>
      </c>
      <c r="Q130" s="705">
        <f t="shared" si="43"/>
        <v>0</v>
      </c>
      <c r="R130" s="706" t="e">
        <f>R129/R$4</f>
        <v>#REF!</v>
      </c>
    </row>
    <row r="131" spans="1:18" s="641" customFormat="1" ht="12.75" thickBot="1">
      <c r="A131" s="650" t="s">
        <v>268</v>
      </c>
      <c r="B131" s="651"/>
      <c r="C131" s="651"/>
      <c r="D131" s="652"/>
      <c r="E131" s="652"/>
      <c r="F131" s="651"/>
      <c r="G131" s="651"/>
      <c r="H131" s="651"/>
      <c r="I131" s="651"/>
      <c r="J131" s="651"/>
      <c r="K131" s="651"/>
      <c r="L131" s="651"/>
      <c r="M131" s="651"/>
      <c r="N131" s="651"/>
      <c r="O131" s="651"/>
      <c r="P131" s="651"/>
      <c r="Q131" s="651"/>
      <c r="R131" s="653"/>
    </row>
    <row r="132" spans="1:18" s="641" customFormat="1" ht="12.75" outlineLevel="1" thickBot="1">
      <c r="A132" s="654" t="s">
        <v>245</v>
      </c>
      <c r="B132" s="655"/>
      <c r="C132" s="655"/>
      <c r="D132" s="656"/>
      <c r="E132" s="657"/>
      <c r="F132" s="655"/>
      <c r="G132" s="655"/>
      <c r="H132" s="655"/>
      <c r="I132" s="655"/>
      <c r="J132" s="655"/>
      <c r="K132" s="655"/>
      <c r="L132" s="655"/>
      <c r="M132" s="655"/>
      <c r="N132" s="655"/>
      <c r="O132" s="655"/>
      <c r="P132" s="655"/>
      <c r="Q132" s="655"/>
      <c r="R132" s="658"/>
    </row>
    <row r="133" spans="1:18" s="666" customFormat="1" outlineLevel="1">
      <c r="A133" s="659" t="s">
        <v>259</v>
      </c>
      <c r="B133" s="707" t="e">
        <f>'КРМД-24'!R133</f>
        <v>#REF!</v>
      </c>
      <c r="C133" s="660" t="e">
        <f>B133</f>
        <v>#REF!</v>
      </c>
      <c r="D133" s="708" t="e">
        <f>+B133*0.275</f>
        <v>#REF!</v>
      </c>
      <c r="E133" s="662" t="e">
        <f>B133*55</f>
        <v>#REF!</v>
      </c>
      <c r="F133" s="663" t="e">
        <f>B133</f>
        <v>#REF!</v>
      </c>
      <c r="G133" s="709" t="e">
        <f t="shared" ref="G133:Q133" si="44">(F133+F134+F135+F136-F138-F139-F140-F141-F142)</f>
        <v>#REF!</v>
      </c>
      <c r="H133" s="709" t="e">
        <f t="shared" si="44"/>
        <v>#REF!</v>
      </c>
      <c r="I133" s="709" t="e">
        <f t="shared" si="44"/>
        <v>#REF!</v>
      </c>
      <c r="J133" s="709" t="e">
        <f t="shared" si="44"/>
        <v>#REF!</v>
      </c>
      <c r="K133" s="709" t="e">
        <f t="shared" si="44"/>
        <v>#REF!</v>
      </c>
      <c r="L133" s="709" t="e">
        <f t="shared" si="44"/>
        <v>#REF!</v>
      </c>
      <c r="M133" s="709" t="e">
        <f t="shared" si="44"/>
        <v>#REF!</v>
      </c>
      <c r="N133" s="709" t="e">
        <f t="shared" si="44"/>
        <v>#REF!</v>
      </c>
      <c r="O133" s="709" t="e">
        <f t="shared" si="44"/>
        <v>#REF!</v>
      </c>
      <c r="P133" s="709" t="e">
        <f t="shared" si="44"/>
        <v>#REF!</v>
      </c>
      <c r="Q133" s="664" t="e">
        <f t="shared" si="44"/>
        <v>#REF!</v>
      </c>
      <c r="R133" s="665" t="e">
        <f>(Q133+Q134+Q135+Q136-Q138-Q139-Q140-Q141-Q142)</f>
        <v>#REF!</v>
      </c>
    </row>
    <row r="134" spans="1:18" s="666" customFormat="1" outlineLevel="1">
      <c r="A134" s="710" t="s">
        <v>247</v>
      </c>
      <c r="B134" s="668"/>
      <c r="C134" s="669"/>
      <c r="D134" s="670"/>
      <c r="E134" s="671"/>
      <c r="F134" s="711">
        <f>F152</f>
        <v>0</v>
      </c>
      <c r="G134" s="712">
        <f t="shared" ref="G134:Q134" si="45">G152</f>
        <v>0</v>
      </c>
      <c r="H134" s="712">
        <f t="shared" si="45"/>
        <v>0</v>
      </c>
      <c r="I134" s="712">
        <f t="shared" si="45"/>
        <v>0</v>
      </c>
      <c r="J134" s="712">
        <f t="shared" si="45"/>
        <v>0</v>
      </c>
      <c r="K134" s="712">
        <f t="shared" si="45"/>
        <v>0</v>
      </c>
      <c r="L134" s="712">
        <f t="shared" si="45"/>
        <v>0</v>
      </c>
      <c r="M134" s="712">
        <f t="shared" si="45"/>
        <v>0</v>
      </c>
      <c r="N134" s="712">
        <f t="shared" si="45"/>
        <v>0</v>
      </c>
      <c r="O134" s="712">
        <f t="shared" si="45"/>
        <v>0</v>
      </c>
      <c r="P134" s="712">
        <f t="shared" si="45"/>
        <v>0</v>
      </c>
      <c r="Q134" s="713" t="e">
        <f t="shared" si="45"/>
        <v>#REF!</v>
      </c>
      <c r="R134" s="674" t="e">
        <f t="shared" ref="R134:R143" si="46">SUM(F134:Q134)</f>
        <v>#REF!</v>
      </c>
    </row>
    <row r="135" spans="1:18" s="666" customFormat="1" outlineLevel="1">
      <c r="A135" s="710" t="s">
        <v>248</v>
      </c>
      <c r="B135" s="675"/>
      <c r="C135" s="676"/>
      <c r="D135" s="676"/>
      <c r="E135" s="677"/>
      <c r="F135" s="672"/>
      <c r="G135" s="688"/>
      <c r="H135" s="688"/>
      <c r="I135" s="688"/>
      <c r="J135" s="688"/>
      <c r="K135" s="688"/>
      <c r="L135" s="688"/>
      <c r="M135" s="688"/>
      <c r="N135" s="688"/>
      <c r="O135" s="688"/>
      <c r="P135" s="688"/>
      <c r="Q135" s="673"/>
      <c r="R135" s="674">
        <f t="shared" si="46"/>
        <v>0</v>
      </c>
    </row>
    <row r="136" spans="1:18" s="666" customFormat="1" ht="12.75" outlineLevel="1" thickBot="1">
      <c r="A136" s="714" t="s">
        <v>249</v>
      </c>
      <c r="B136" s="675"/>
      <c r="C136" s="676"/>
      <c r="D136" s="676"/>
      <c r="E136" s="677"/>
      <c r="F136" s="679"/>
      <c r="G136" s="680"/>
      <c r="H136" s="680"/>
      <c r="I136" s="680"/>
      <c r="J136" s="680"/>
      <c r="K136" s="680"/>
      <c r="L136" s="680"/>
      <c r="M136" s="680"/>
      <c r="N136" s="680"/>
      <c r="O136" s="680"/>
      <c r="P136" s="680"/>
      <c r="Q136" s="680"/>
      <c r="R136" s="681">
        <f t="shared" si="46"/>
        <v>0</v>
      </c>
    </row>
    <row r="137" spans="1:18" s="641" customFormat="1" ht="12.75" outlineLevel="1" thickBot="1">
      <c r="A137" s="715" t="s">
        <v>250</v>
      </c>
      <c r="B137" s="675"/>
      <c r="C137" s="676"/>
      <c r="D137" s="676"/>
      <c r="E137" s="677"/>
      <c r="F137" s="683"/>
      <c r="G137" s="655"/>
      <c r="H137" s="655"/>
      <c r="I137" s="655"/>
      <c r="J137" s="655"/>
      <c r="K137" s="655"/>
      <c r="L137" s="655"/>
      <c r="M137" s="655"/>
      <c r="N137" s="655"/>
      <c r="O137" s="655"/>
      <c r="P137" s="655"/>
      <c r="Q137" s="655"/>
      <c r="R137" s="684">
        <f t="shared" si="46"/>
        <v>0</v>
      </c>
    </row>
    <row r="138" spans="1:18" s="666" customFormat="1" outlineLevel="1">
      <c r="A138" s="718" t="s">
        <v>251</v>
      </c>
      <c r="B138" s="675"/>
      <c r="C138" s="676"/>
      <c r="D138" s="676"/>
      <c r="E138" s="677"/>
      <c r="F138" s="744"/>
      <c r="G138" s="688"/>
      <c r="H138" s="688"/>
      <c r="I138" s="688"/>
      <c r="J138" s="688"/>
      <c r="K138" s="688"/>
      <c r="L138" s="688"/>
      <c r="M138" s="688"/>
      <c r="N138" s="688"/>
      <c r="O138" s="688"/>
      <c r="P138" s="688"/>
      <c r="Q138" s="688"/>
      <c r="R138" s="689">
        <f t="shared" si="46"/>
        <v>0</v>
      </c>
    </row>
    <row r="139" spans="1:18" s="666" customFormat="1" ht="22.5" customHeight="1" outlineLevel="1">
      <c r="A139" s="722" t="s">
        <v>252</v>
      </c>
      <c r="B139" s="675"/>
      <c r="C139" s="676"/>
      <c r="D139" s="676"/>
      <c r="E139" s="677"/>
      <c r="F139" s="672"/>
      <c r="G139" s="673"/>
      <c r="H139" s="673"/>
      <c r="I139" s="673"/>
      <c r="J139" s="673"/>
      <c r="K139" s="673"/>
      <c r="L139" s="673"/>
      <c r="M139" s="673"/>
      <c r="N139" s="673"/>
      <c r="O139" s="673"/>
      <c r="P139" s="673" t="e">
        <f>B133</f>
        <v>#REF!</v>
      </c>
      <c r="Q139" s="673"/>
      <c r="R139" s="674" t="e">
        <f t="shared" si="46"/>
        <v>#REF!</v>
      </c>
    </row>
    <row r="140" spans="1:18" s="666" customFormat="1" outlineLevel="1">
      <c r="A140" s="722" t="s">
        <v>253</v>
      </c>
      <c r="B140" s="675"/>
      <c r="C140" s="676"/>
      <c r="D140" s="676"/>
      <c r="E140" s="677"/>
      <c r="F140" s="672"/>
      <c r="G140" s="673"/>
      <c r="H140" s="673"/>
      <c r="I140" s="673"/>
      <c r="J140" s="673"/>
      <c r="K140" s="673"/>
      <c r="L140" s="673"/>
      <c r="M140" s="673"/>
      <c r="N140" s="673"/>
      <c r="O140" s="673"/>
      <c r="P140" s="673"/>
      <c r="Q140" s="673"/>
      <c r="R140" s="674">
        <f t="shared" si="46"/>
        <v>0</v>
      </c>
    </row>
    <row r="141" spans="1:18" s="666" customFormat="1" outlineLevel="1">
      <c r="A141" s="722" t="s">
        <v>254</v>
      </c>
      <c r="B141" s="675"/>
      <c r="C141" s="676"/>
      <c r="D141" s="676"/>
      <c r="E141" s="677"/>
      <c r="F141" s="672"/>
      <c r="G141" s="673"/>
      <c r="H141" s="673"/>
      <c r="I141" s="673"/>
      <c r="J141" s="673"/>
      <c r="K141" s="673"/>
      <c r="L141" s="673"/>
      <c r="M141" s="673"/>
      <c r="N141" s="673"/>
      <c r="O141" s="673"/>
      <c r="P141" s="673"/>
      <c r="Q141" s="673"/>
      <c r="R141" s="674">
        <f t="shared" si="46"/>
        <v>0</v>
      </c>
    </row>
    <row r="142" spans="1:18" s="666" customFormat="1" outlineLevel="1">
      <c r="A142" s="722" t="s">
        <v>255</v>
      </c>
      <c r="B142" s="675"/>
      <c r="C142" s="676"/>
      <c r="D142" s="676"/>
      <c r="E142" s="677"/>
      <c r="F142" s="672"/>
      <c r="G142" s="673"/>
      <c r="H142" s="673"/>
      <c r="I142" s="673"/>
      <c r="J142" s="673"/>
      <c r="K142" s="673"/>
      <c r="L142" s="673"/>
      <c r="M142" s="673"/>
      <c r="N142" s="673"/>
      <c r="O142" s="673"/>
      <c r="P142" s="673"/>
      <c r="Q142" s="673"/>
      <c r="R142" s="674">
        <f t="shared" si="46"/>
        <v>0</v>
      </c>
    </row>
    <row r="143" spans="1:18" s="666" customFormat="1" outlineLevel="1">
      <c r="A143" s="725" t="s">
        <v>256</v>
      </c>
      <c r="B143" s="694"/>
      <c r="C143" s="695"/>
      <c r="D143" s="696"/>
      <c r="E143" s="697"/>
      <c r="F143" s="698" t="e">
        <f>(F133+G133)/2*F$4</f>
        <v>#REF!</v>
      </c>
      <c r="G143" s="698" t="e">
        <f t="shared" ref="G143:Q143" si="47">(G133+H133)/2*G$4</f>
        <v>#REF!</v>
      </c>
      <c r="H143" s="698" t="e">
        <f t="shared" si="47"/>
        <v>#REF!</v>
      </c>
      <c r="I143" s="698" t="e">
        <f t="shared" si="47"/>
        <v>#REF!</v>
      </c>
      <c r="J143" s="698" t="e">
        <f t="shared" si="47"/>
        <v>#REF!</v>
      </c>
      <c r="K143" s="698" t="e">
        <f t="shared" si="47"/>
        <v>#REF!</v>
      </c>
      <c r="L143" s="698" t="e">
        <f t="shared" si="47"/>
        <v>#REF!</v>
      </c>
      <c r="M143" s="698" t="e">
        <f t="shared" si="47"/>
        <v>#REF!</v>
      </c>
      <c r="N143" s="698" t="e">
        <f t="shared" si="47"/>
        <v>#REF!</v>
      </c>
      <c r="O143" s="698" t="e">
        <f t="shared" si="47"/>
        <v>#REF!</v>
      </c>
      <c r="P143" s="698" t="e">
        <f t="shared" si="47"/>
        <v>#REF!</v>
      </c>
      <c r="Q143" s="698" t="e">
        <f t="shared" si="47"/>
        <v>#REF!</v>
      </c>
      <c r="R143" s="699" t="e">
        <f t="shared" si="46"/>
        <v>#REF!</v>
      </c>
    </row>
    <row r="144" spans="1:18" s="666" customFormat="1" ht="12.75" outlineLevel="1" thickBot="1">
      <c r="A144" s="700" t="s">
        <v>257</v>
      </c>
      <c r="B144" s="701"/>
      <c r="C144" s="701"/>
      <c r="D144" s="702"/>
      <c r="E144" s="703"/>
      <c r="F144" s="704" t="e">
        <f>F143/F$4</f>
        <v>#REF!</v>
      </c>
      <c r="G144" s="705" t="e">
        <f t="shared" ref="G144:Q144" si="48">G143/G$4</f>
        <v>#REF!</v>
      </c>
      <c r="H144" s="705" t="e">
        <f t="shared" si="48"/>
        <v>#REF!</v>
      </c>
      <c r="I144" s="705" t="e">
        <f t="shared" si="48"/>
        <v>#REF!</v>
      </c>
      <c r="J144" s="705" t="e">
        <f t="shared" si="48"/>
        <v>#REF!</v>
      </c>
      <c r="K144" s="705" t="e">
        <f t="shared" si="48"/>
        <v>#REF!</v>
      </c>
      <c r="L144" s="705" t="e">
        <f t="shared" si="48"/>
        <v>#REF!</v>
      </c>
      <c r="M144" s="705" t="e">
        <f t="shared" si="48"/>
        <v>#REF!</v>
      </c>
      <c r="N144" s="705" t="e">
        <f t="shared" si="48"/>
        <v>#REF!</v>
      </c>
      <c r="O144" s="705" t="e">
        <f t="shared" si="48"/>
        <v>#REF!</v>
      </c>
      <c r="P144" s="705" t="e">
        <f t="shared" si="48"/>
        <v>#REF!</v>
      </c>
      <c r="Q144" s="705" t="e">
        <f t="shared" si="48"/>
        <v>#REF!</v>
      </c>
      <c r="R144" s="706" t="e">
        <f>R143/R$4</f>
        <v>#REF!</v>
      </c>
    </row>
    <row r="145" spans="1:18" s="641" customFormat="1" ht="12.75" thickBot="1">
      <c r="A145" s="650" t="s">
        <v>269</v>
      </c>
      <c r="B145" s="651"/>
      <c r="C145" s="651"/>
      <c r="D145" s="652"/>
      <c r="E145" s="652"/>
      <c r="F145" s="651"/>
      <c r="G145" s="651"/>
      <c r="H145" s="651"/>
      <c r="I145" s="651"/>
      <c r="J145" s="651"/>
      <c r="K145" s="651"/>
      <c r="L145" s="651"/>
      <c r="M145" s="651"/>
      <c r="N145" s="651"/>
      <c r="O145" s="651"/>
      <c r="P145" s="651"/>
      <c r="Q145" s="651"/>
      <c r="R145" s="653"/>
    </row>
    <row r="146" spans="1:18" s="641" customFormat="1" ht="12.75" outlineLevel="1" thickBot="1">
      <c r="A146" s="654" t="s">
        <v>245</v>
      </c>
      <c r="B146" s="655"/>
      <c r="C146" s="655"/>
      <c r="D146" s="656"/>
      <c r="E146" s="657"/>
      <c r="F146" s="655"/>
      <c r="G146" s="655"/>
      <c r="H146" s="655"/>
      <c r="I146" s="655"/>
      <c r="J146" s="655"/>
      <c r="K146" s="655"/>
      <c r="L146" s="655"/>
      <c r="M146" s="655"/>
      <c r="N146" s="655"/>
      <c r="O146" s="655"/>
      <c r="P146" s="655"/>
      <c r="Q146" s="655"/>
      <c r="R146" s="658"/>
    </row>
    <row r="147" spans="1:18" s="666" customFormat="1" outlineLevel="1">
      <c r="A147" s="659" t="s">
        <v>259</v>
      </c>
      <c r="B147" s="707" t="e">
        <f>'КРМД-24'!R147</f>
        <v>#REF!</v>
      </c>
      <c r="C147" s="660" t="e">
        <f>B147</f>
        <v>#REF!</v>
      </c>
      <c r="D147" s="708" t="e">
        <f>+B147*0.19</f>
        <v>#REF!</v>
      </c>
      <c r="E147" s="662" t="e">
        <f>B147*45</f>
        <v>#REF!</v>
      </c>
      <c r="F147" s="663" t="e">
        <f>B147</f>
        <v>#REF!</v>
      </c>
      <c r="G147" s="709" t="e">
        <f t="shared" ref="G147:Q147" si="49">(F147+F148+F149+F150-F152-F153-F154-F155-F156)</f>
        <v>#REF!</v>
      </c>
      <c r="H147" s="709" t="e">
        <f t="shared" si="49"/>
        <v>#REF!</v>
      </c>
      <c r="I147" s="709" t="e">
        <f t="shared" si="49"/>
        <v>#REF!</v>
      </c>
      <c r="J147" s="709" t="e">
        <f t="shared" si="49"/>
        <v>#REF!</v>
      </c>
      <c r="K147" s="709" t="e">
        <f t="shared" si="49"/>
        <v>#REF!</v>
      </c>
      <c r="L147" s="709" t="e">
        <f t="shared" si="49"/>
        <v>#REF!</v>
      </c>
      <c r="M147" s="709" t="e">
        <f t="shared" si="49"/>
        <v>#REF!</v>
      </c>
      <c r="N147" s="709" t="e">
        <f t="shared" si="49"/>
        <v>#REF!</v>
      </c>
      <c r="O147" s="709" t="e">
        <f t="shared" si="49"/>
        <v>#REF!</v>
      </c>
      <c r="P147" s="709" t="e">
        <f t="shared" si="49"/>
        <v>#REF!</v>
      </c>
      <c r="Q147" s="664" t="e">
        <f t="shared" si="49"/>
        <v>#REF!</v>
      </c>
      <c r="R147" s="665" t="e">
        <f>(Q147+Q148+Q149+Q150-Q152-Q153-Q154-Q155-Q156)</f>
        <v>#REF!</v>
      </c>
    </row>
    <row r="148" spans="1:18" s="666" customFormat="1" outlineLevel="1">
      <c r="A148" s="710" t="s">
        <v>247</v>
      </c>
      <c r="B148" s="668"/>
      <c r="C148" s="669"/>
      <c r="D148" s="670"/>
      <c r="E148" s="671"/>
      <c r="F148" s="711">
        <f>F180</f>
        <v>0</v>
      </c>
      <c r="G148" s="712">
        <f>G180</f>
        <v>0</v>
      </c>
      <c r="H148" s="712">
        <f t="shared" ref="H148:Q148" si="50">H180</f>
        <v>0</v>
      </c>
      <c r="I148" s="712">
        <f t="shared" si="50"/>
        <v>0</v>
      </c>
      <c r="J148" s="712">
        <f t="shared" si="50"/>
        <v>0</v>
      </c>
      <c r="K148" s="712">
        <f t="shared" si="50"/>
        <v>0</v>
      </c>
      <c r="L148" s="712">
        <f t="shared" si="50"/>
        <v>0</v>
      </c>
      <c r="M148" s="712">
        <f t="shared" si="50"/>
        <v>0</v>
      </c>
      <c r="N148" s="712">
        <f>N180</f>
        <v>0</v>
      </c>
      <c r="O148" s="712">
        <f t="shared" si="50"/>
        <v>0</v>
      </c>
      <c r="P148" s="712">
        <f>P180</f>
        <v>0</v>
      </c>
      <c r="Q148" s="713" t="e">
        <f t="shared" si="50"/>
        <v>#REF!</v>
      </c>
      <c r="R148" s="674" t="e">
        <f t="shared" ref="R148:R157" si="51">SUM(F148:Q148)</f>
        <v>#REF!</v>
      </c>
    </row>
    <row r="149" spans="1:18" s="666" customFormat="1" outlineLevel="1">
      <c r="A149" s="710" t="s">
        <v>248</v>
      </c>
      <c r="B149" s="675"/>
      <c r="C149" s="676"/>
      <c r="D149" s="676"/>
      <c r="E149" s="677"/>
      <c r="F149" s="672"/>
      <c r="G149" s="688"/>
      <c r="H149" s="688"/>
      <c r="I149" s="688"/>
      <c r="J149" s="688"/>
      <c r="K149" s="688"/>
      <c r="L149" s="688"/>
      <c r="M149" s="688"/>
      <c r="N149" s="688"/>
      <c r="O149" s="688"/>
      <c r="P149" s="688"/>
      <c r="Q149" s="673"/>
      <c r="R149" s="674">
        <f t="shared" si="51"/>
        <v>0</v>
      </c>
    </row>
    <row r="150" spans="1:18" s="666" customFormat="1" ht="12.75" outlineLevel="1" thickBot="1">
      <c r="A150" s="714" t="s">
        <v>249</v>
      </c>
      <c r="B150" s="675"/>
      <c r="C150" s="676"/>
      <c r="D150" s="676"/>
      <c r="E150" s="677"/>
      <c r="F150" s="679"/>
      <c r="G150" s="680"/>
      <c r="H150" s="680"/>
      <c r="I150" s="680"/>
      <c r="J150" s="680"/>
      <c r="K150" s="680"/>
      <c r="L150" s="680"/>
      <c r="M150" s="680"/>
      <c r="N150" s="680"/>
      <c r="O150" s="680"/>
      <c r="P150" s="680"/>
      <c r="Q150" s="680"/>
      <c r="R150" s="681">
        <f t="shared" si="51"/>
        <v>0</v>
      </c>
    </row>
    <row r="151" spans="1:18" s="641" customFormat="1" ht="12.75" outlineLevel="1" thickBot="1">
      <c r="A151" s="715" t="s">
        <v>250</v>
      </c>
      <c r="B151" s="675"/>
      <c r="C151" s="676"/>
      <c r="D151" s="676"/>
      <c r="E151" s="677"/>
      <c r="F151" s="683"/>
      <c r="G151" s="655"/>
      <c r="H151" s="655"/>
      <c r="I151" s="655"/>
      <c r="J151" s="655"/>
      <c r="K151" s="655"/>
      <c r="L151" s="655"/>
      <c r="M151" s="655"/>
      <c r="N151" s="655"/>
      <c r="O151" s="655"/>
      <c r="P151" s="655"/>
      <c r="Q151" s="655"/>
      <c r="R151" s="684">
        <f t="shared" si="51"/>
        <v>0</v>
      </c>
    </row>
    <row r="152" spans="1:18" s="666" customFormat="1" outlineLevel="1">
      <c r="A152" s="718" t="s">
        <v>251</v>
      </c>
      <c r="B152" s="675"/>
      <c r="C152" s="676"/>
      <c r="D152" s="676"/>
      <c r="E152" s="677"/>
      <c r="F152" s="744"/>
      <c r="G152" s="688"/>
      <c r="H152" s="688"/>
      <c r="I152" s="688"/>
      <c r="J152" s="688"/>
      <c r="K152" s="688"/>
      <c r="L152" s="688"/>
      <c r="M152" s="688"/>
      <c r="N152" s="688"/>
      <c r="O152" s="688"/>
      <c r="P152" s="688"/>
      <c r="Q152" s="688" t="e">
        <f>Q147</f>
        <v>#REF!</v>
      </c>
      <c r="R152" s="689" t="e">
        <f t="shared" si="51"/>
        <v>#REF!</v>
      </c>
    </row>
    <row r="153" spans="1:18" s="666" customFormat="1" ht="22.5" customHeight="1" outlineLevel="1">
      <c r="A153" s="722" t="s">
        <v>252</v>
      </c>
      <c r="B153" s="675"/>
      <c r="C153" s="676"/>
      <c r="D153" s="676"/>
      <c r="E153" s="677"/>
      <c r="F153" s="672"/>
      <c r="G153" s="673"/>
      <c r="H153" s="673"/>
      <c r="I153" s="673"/>
      <c r="J153" s="673"/>
      <c r="K153" s="673"/>
      <c r="L153" s="673"/>
      <c r="M153" s="673"/>
      <c r="N153" s="673"/>
      <c r="O153" s="673"/>
      <c r="P153" s="673"/>
      <c r="Q153" s="673"/>
      <c r="R153" s="674">
        <f t="shared" si="51"/>
        <v>0</v>
      </c>
    </row>
    <row r="154" spans="1:18" s="666" customFormat="1" outlineLevel="1">
      <c r="A154" s="722" t="s">
        <v>253</v>
      </c>
      <c r="B154" s="675"/>
      <c r="C154" s="676"/>
      <c r="D154" s="676"/>
      <c r="E154" s="677"/>
      <c r="F154" s="672"/>
      <c r="G154" s="673"/>
      <c r="H154" s="673"/>
      <c r="I154" s="673"/>
      <c r="J154" s="673"/>
      <c r="K154" s="673"/>
      <c r="L154" s="673"/>
      <c r="M154" s="673"/>
      <c r="N154" s="673"/>
      <c r="O154" s="673"/>
      <c r="P154" s="673"/>
      <c r="Q154" s="673"/>
      <c r="R154" s="674">
        <f t="shared" si="51"/>
        <v>0</v>
      </c>
    </row>
    <row r="155" spans="1:18" s="666" customFormat="1" outlineLevel="1">
      <c r="A155" s="722" t="s">
        <v>254</v>
      </c>
      <c r="B155" s="675"/>
      <c r="C155" s="676"/>
      <c r="D155" s="676"/>
      <c r="E155" s="677"/>
      <c r="F155" s="672"/>
      <c r="G155" s="673"/>
      <c r="H155" s="673"/>
      <c r="I155" s="673"/>
      <c r="J155" s="673"/>
      <c r="K155" s="673"/>
      <c r="L155" s="673"/>
      <c r="M155" s="673"/>
      <c r="N155" s="673"/>
      <c r="O155" s="673"/>
      <c r="P155" s="673"/>
      <c r="Q155" s="673"/>
      <c r="R155" s="674">
        <f t="shared" si="51"/>
        <v>0</v>
      </c>
    </row>
    <row r="156" spans="1:18" s="666" customFormat="1" outlineLevel="1">
      <c r="A156" s="722" t="s">
        <v>255</v>
      </c>
      <c r="B156" s="675"/>
      <c r="C156" s="676"/>
      <c r="D156" s="676"/>
      <c r="E156" s="677"/>
      <c r="F156" s="672"/>
      <c r="G156" s="673"/>
      <c r="H156" s="673"/>
      <c r="I156" s="673"/>
      <c r="J156" s="673"/>
      <c r="K156" s="673"/>
      <c r="L156" s="673"/>
      <c r="M156" s="673"/>
      <c r="N156" s="747"/>
      <c r="O156" s="673"/>
      <c r="P156" s="673"/>
      <c r="Q156" s="673"/>
      <c r="R156" s="674">
        <f t="shared" si="51"/>
        <v>0</v>
      </c>
    </row>
    <row r="157" spans="1:18" s="666" customFormat="1" outlineLevel="1">
      <c r="A157" s="725" t="s">
        <v>256</v>
      </c>
      <c r="B157" s="694"/>
      <c r="C157" s="695"/>
      <c r="D157" s="696"/>
      <c r="E157" s="697"/>
      <c r="F157" s="698" t="e">
        <f t="shared" ref="F157:P157" si="52">(F147+G147)/2*F$4</f>
        <v>#REF!</v>
      </c>
      <c r="G157" s="698" t="e">
        <f t="shared" si="52"/>
        <v>#REF!</v>
      </c>
      <c r="H157" s="698" t="e">
        <f t="shared" si="52"/>
        <v>#REF!</v>
      </c>
      <c r="I157" s="698" t="e">
        <f t="shared" si="52"/>
        <v>#REF!</v>
      </c>
      <c r="J157" s="698" t="e">
        <f t="shared" si="52"/>
        <v>#REF!</v>
      </c>
      <c r="K157" s="698" t="e">
        <f t="shared" si="52"/>
        <v>#REF!</v>
      </c>
      <c r="L157" s="698" t="e">
        <f t="shared" si="52"/>
        <v>#REF!</v>
      </c>
      <c r="M157" s="698" t="e">
        <f t="shared" si="52"/>
        <v>#REF!</v>
      </c>
      <c r="N157" s="698" t="e">
        <f t="shared" si="52"/>
        <v>#REF!</v>
      </c>
      <c r="O157" s="698" t="e">
        <f t="shared" si="52"/>
        <v>#REF!</v>
      </c>
      <c r="P157" s="698" t="e">
        <f t="shared" si="52"/>
        <v>#REF!</v>
      </c>
      <c r="Q157" s="698" t="e">
        <f>(Q147+R147)/2*Q$4</f>
        <v>#REF!</v>
      </c>
      <c r="R157" s="699" t="e">
        <f t="shared" si="51"/>
        <v>#REF!</v>
      </c>
    </row>
    <row r="158" spans="1:18" s="666" customFormat="1" ht="12.75" outlineLevel="1" thickBot="1">
      <c r="A158" s="700" t="s">
        <v>257</v>
      </c>
      <c r="B158" s="701"/>
      <c r="C158" s="701"/>
      <c r="D158" s="702"/>
      <c r="E158" s="703"/>
      <c r="F158" s="704" t="e">
        <f t="shared" ref="F158:P158" si="53">F157/F$4</f>
        <v>#REF!</v>
      </c>
      <c r="G158" s="705" t="e">
        <f t="shared" si="53"/>
        <v>#REF!</v>
      </c>
      <c r="H158" s="705" t="e">
        <f t="shared" si="53"/>
        <v>#REF!</v>
      </c>
      <c r="I158" s="705" t="e">
        <f t="shared" si="53"/>
        <v>#REF!</v>
      </c>
      <c r="J158" s="705" t="e">
        <f t="shared" si="53"/>
        <v>#REF!</v>
      </c>
      <c r="K158" s="705" t="e">
        <f t="shared" si="53"/>
        <v>#REF!</v>
      </c>
      <c r="L158" s="705" t="e">
        <f t="shared" si="53"/>
        <v>#REF!</v>
      </c>
      <c r="M158" s="705" t="e">
        <f t="shared" si="53"/>
        <v>#REF!</v>
      </c>
      <c r="N158" s="705" t="e">
        <f t="shared" si="53"/>
        <v>#REF!</v>
      </c>
      <c r="O158" s="705" t="e">
        <f t="shared" si="53"/>
        <v>#REF!</v>
      </c>
      <c r="P158" s="705" t="e">
        <f t="shared" si="53"/>
        <v>#REF!</v>
      </c>
      <c r="Q158" s="705" t="e">
        <f>Q157/Q$4</f>
        <v>#REF!</v>
      </c>
      <c r="R158" s="706" t="e">
        <f>R157/R$4</f>
        <v>#REF!</v>
      </c>
    </row>
    <row r="159" spans="1:18" s="641" customFormat="1" ht="12.75" thickBot="1">
      <c r="A159" s="650" t="s">
        <v>270</v>
      </c>
      <c r="B159" s="651"/>
      <c r="C159" s="651"/>
      <c r="D159" s="652"/>
      <c r="E159" s="652"/>
      <c r="F159" s="651"/>
      <c r="G159" s="651"/>
      <c r="H159" s="651"/>
      <c r="I159" s="651"/>
      <c r="J159" s="651"/>
      <c r="K159" s="651"/>
      <c r="L159" s="651"/>
      <c r="M159" s="651"/>
      <c r="N159" s="651"/>
      <c r="O159" s="651"/>
      <c r="P159" s="651"/>
      <c r="Q159" s="651"/>
      <c r="R159" s="653"/>
    </row>
    <row r="160" spans="1:18" s="641" customFormat="1" ht="12.75" outlineLevel="1" thickBot="1">
      <c r="A160" s="654" t="s">
        <v>245</v>
      </c>
      <c r="B160" s="655"/>
      <c r="C160" s="655"/>
      <c r="D160" s="656"/>
      <c r="E160" s="657"/>
      <c r="F160" s="655"/>
      <c r="G160" s="655"/>
      <c r="H160" s="655"/>
      <c r="I160" s="655"/>
      <c r="J160" s="655"/>
      <c r="K160" s="655"/>
      <c r="L160" s="655"/>
      <c r="M160" s="655"/>
      <c r="N160" s="655"/>
      <c r="O160" s="655"/>
      <c r="P160" s="655"/>
      <c r="Q160" s="655"/>
      <c r="R160" s="658"/>
    </row>
    <row r="161" spans="1:18" s="666" customFormat="1" outlineLevel="1">
      <c r="A161" s="659" t="s">
        <v>259</v>
      </c>
      <c r="B161" s="707"/>
      <c r="C161" s="660">
        <f>B161</f>
        <v>0</v>
      </c>
      <c r="D161" s="708"/>
      <c r="E161" s="742"/>
      <c r="F161" s="663">
        <f>B161</f>
        <v>0</v>
      </c>
      <c r="G161" s="664">
        <f t="shared" ref="G161:Q161" si="54">(F161+F162+F163+F164-F166-F167-F168-F169-F170)</f>
        <v>0</v>
      </c>
      <c r="H161" s="664">
        <f>(G161+G162+G163+G164-G166-G167-G168-G169-G170)</f>
        <v>0</v>
      </c>
      <c r="I161" s="664" t="e">
        <f t="shared" si="54"/>
        <v>#REF!</v>
      </c>
      <c r="J161" s="664" t="e">
        <f t="shared" si="54"/>
        <v>#REF!</v>
      </c>
      <c r="K161" s="664" t="e">
        <f t="shared" si="54"/>
        <v>#REF!</v>
      </c>
      <c r="L161" s="664" t="e">
        <f t="shared" si="54"/>
        <v>#REF!</v>
      </c>
      <c r="M161" s="664" t="e">
        <f t="shared" si="54"/>
        <v>#REF!</v>
      </c>
      <c r="N161" s="664" t="e">
        <f t="shared" si="54"/>
        <v>#REF!</v>
      </c>
      <c r="O161" s="664" t="e">
        <f t="shared" si="54"/>
        <v>#REF!</v>
      </c>
      <c r="P161" s="664" t="e">
        <f t="shared" si="54"/>
        <v>#REF!</v>
      </c>
      <c r="Q161" s="664" t="e">
        <f t="shared" si="54"/>
        <v>#REF!</v>
      </c>
      <c r="R161" s="665" t="e">
        <f>(Q161+Q162+Q163+Q164-Q166-Q167-Q168-Q169-Q170)</f>
        <v>#REF!</v>
      </c>
    </row>
    <row r="162" spans="1:18" s="666" customFormat="1" outlineLevel="1">
      <c r="A162" s="710" t="s">
        <v>271</v>
      </c>
      <c r="B162" s="668"/>
      <c r="C162" s="669"/>
      <c r="D162" s="670"/>
      <c r="E162" s="671"/>
      <c r="F162" s="672"/>
      <c r="G162" s="673"/>
      <c r="H162" s="673" t="e">
        <f>ROUNDDOWN(((B35+B63)/2)*85%,0)</f>
        <v>#REF!</v>
      </c>
      <c r="I162" s="673"/>
      <c r="J162" s="673"/>
      <c r="K162" s="673"/>
      <c r="L162" s="673"/>
      <c r="M162" s="673"/>
      <c r="N162" s="673"/>
      <c r="O162" s="673"/>
      <c r="P162" s="673"/>
      <c r="Q162" s="673"/>
      <c r="R162" s="674" t="e">
        <f t="shared" ref="R162:R171" si="55">SUM(F162:Q162)</f>
        <v>#REF!</v>
      </c>
    </row>
    <row r="163" spans="1:18" s="666" customFormat="1" outlineLevel="1">
      <c r="A163" s="710" t="s">
        <v>248</v>
      </c>
      <c r="B163" s="675"/>
      <c r="C163" s="676"/>
      <c r="D163" s="676"/>
      <c r="E163" s="677"/>
      <c r="F163" s="672"/>
      <c r="G163" s="673"/>
      <c r="H163" s="673"/>
      <c r="I163" s="673"/>
      <c r="J163" s="673"/>
      <c r="K163" s="673"/>
      <c r="L163" s="673"/>
      <c r="M163" s="673"/>
      <c r="N163" s="673"/>
      <c r="O163" s="673"/>
      <c r="P163" s="673"/>
      <c r="Q163" s="673"/>
      <c r="R163" s="674">
        <f t="shared" si="55"/>
        <v>0</v>
      </c>
    </row>
    <row r="164" spans="1:18" s="666" customFormat="1" ht="12.75" outlineLevel="1" thickBot="1">
      <c r="A164" s="714" t="s">
        <v>249</v>
      </c>
      <c r="B164" s="675"/>
      <c r="C164" s="676"/>
      <c r="D164" s="676"/>
      <c r="E164" s="677"/>
      <c r="F164" s="672"/>
      <c r="G164" s="673"/>
      <c r="H164" s="673"/>
      <c r="I164" s="673"/>
      <c r="J164" s="673"/>
      <c r="K164" s="673"/>
      <c r="L164" s="673"/>
      <c r="M164" s="673"/>
      <c r="N164" s="673"/>
      <c r="O164" s="673"/>
      <c r="P164" s="673"/>
      <c r="Q164" s="673"/>
      <c r="R164" s="674">
        <f t="shared" si="55"/>
        <v>0</v>
      </c>
    </row>
    <row r="165" spans="1:18" s="641" customFormat="1" ht="12.75" outlineLevel="1" thickBot="1">
      <c r="A165" s="715" t="s">
        <v>250</v>
      </c>
      <c r="B165" s="675"/>
      <c r="C165" s="676"/>
      <c r="D165" s="676"/>
      <c r="E165" s="677"/>
      <c r="F165" s="683"/>
      <c r="G165" s="655"/>
      <c r="H165" s="655"/>
      <c r="I165" s="655"/>
      <c r="J165" s="655"/>
      <c r="K165" s="655"/>
      <c r="L165" s="655"/>
      <c r="M165" s="655"/>
      <c r="N165" s="655"/>
      <c r="O165" s="655"/>
      <c r="P165" s="655"/>
      <c r="Q165" s="655"/>
      <c r="R165" s="684">
        <f t="shared" si="55"/>
        <v>0</v>
      </c>
    </row>
    <row r="166" spans="1:18" s="666" customFormat="1" outlineLevel="1">
      <c r="A166" s="718" t="s">
        <v>251</v>
      </c>
      <c r="B166" s="675"/>
      <c r="C166" s="676"/>
      <c r="D166" s="676"/>
      <c r="E166" s="677"/>
      <c r="F166" s="672"/>
      <c r="G166" s="673"/>
      <c r="H166" s="673"/>
      <c r="I166" s="673"/>
      <c r="J166" s="673"/>
      <c r="K166" s="673"/>
      <c r="L166" s="673"/>
      <c r="M166" s="673"/>
      <c r="N166" s="673"/>
      <c r="O166" s="673"/>
      <c r="P166" s="673"/>
      <c r="Q166" s="688" t="e">
        <f>Q161</f>
        <v>#REF!</v>
      </c>
      <c r="R166" s="674" t="e">
        <f t="shared" si="55"/>
        <v>#REF!</v>
      </c>
    </row>
    <row r="167" spans="1:18" s="666" customFormat="1" ht="24" outlineLevel="1">
      <c r="A167" s="722" t="s">
        <v>252</v>
      </c>
      <c r="B167" s="675"/>
      <c r="C167" s="676"/>
      <c r="D167" s="676"/>
      <c r="E167" s="677"/>
      <c r="F167" s="672"/>
      <c r="G167" s="673"/>
      <c r="H167" s="673"/>
      <c r="I167" s="673"/>
      <c r="J167" s="673"/>
      <c r="K167" s="673"/>
      <c r="L167" s="673"/>
      <c r="M167" s="673"/>
      <c r="N167" s="673"/>
      <c r="O167" s="673"/>
      <c r="P167" s="673"/>
      <c r="Q167" s="673"/>
      <c r="R167" s="674">
        <f t="shared" si="55"/>
        <v>0</v>
      </c>
    </row>
    <row r="168" spans="1:18" s="666" customFormat="1" outlineLevel="1">
      <c r="A168" s="722" t="s">
        <v>253</v>
      </c>
      <c r="B168" s="675"/>
      <c r="C168" s="676"/>
      <c r="D168" s="676"/>
      <c r="E168" s="677"/>
      <c r="F168" s="672"/>
      <c r="G168" s="673"/>
      <c r="H168" s="673"/>
      <c r="I168" s="673"/>
      <c r="J168" s="673"/>
      <c r="K168" s="673"/>
      <c r="L168" s="673"/>
      <c r="M168" s="673"/>
      <c r="N168" s="673"/>
      <c r="O168" s="673"/>
      <c r="P168" s="673"/>
      <c r="Q168" s="673"/>
      <c r="R168" s="674">
        <f t="shared" si="55"/>
        <v>0</v>
      </c>
    </row>
    <row r="169" spans="1:18" s="666" customFormat="1" outlineLevel="1">
      <c r="A169" s="722" t="s">
        <v>254</v>
      </c>
      <c r="B169" s="675"/>
      <c r="C169" s="676"/>
      <c r="D169" s="676"/>
      <c r="E169" s="677"/>
      <c r="F169" s="711"/>
      <c r="G169" s="673"/>
      <c r="H169" s="673"/>
      <c r="I169" s="673"/>
      <c r="J169" s="673"/>
      <c r="K169" s="713"/>
      <c r="L169" s="673"/>
      <c r="M169" s="673"/>
      <c r="N169" s="673"/>
      <c r="O169" s="673"/>
      <c r="P169" s="673"/>
      <c r="Q169" s="673"/>
      <c r="R169" s="674">
        <f t="shared" si="55"/>
        <v>0</v>
      </c>
    </row>
    <row r="170" spans="1:18" s="666" customFormat="1" outlineLevel="1">
      <c r="A170" s="722" t="s">
        <v>255</v>
      </c>
      <c r="B170" s="675"/>
      <c r="C170" s="676"/>
      <c r="D170" s="676"/>
      <c r="E170" s="677"/>
      <c r="F170" s="672"/>
      <c r="G170" s="673"/>
      <c r="H170" s="673"/>
      <c r="I170" s="673"/>
      <c r="J170" s="673"/>
      <c r="K170" s="673"/>
      <c r="L170" s="673"/>
      <c r="M170" s="673"/>
      <c r="N170" s="673"/>
      <c r="O170" s="673"/>
      <c r="P170" s="673"/>
      <c r="Q170" s="673"/>
      <c r="R170" s="674">
        <f t="shared" si="55"/>
        <v>0</v>
      </c>
    </row>
    <row r="171" spans="1:18" s="666" customFormat="1" outlineLevel="1">
      <c r="A171" s="725" t="s">
        <v>256</v>
      </c>
      <c r="B171" s="694"/>
      <c r="C171" s="695"/>
      <c r="D171" s="696"/>
      <c r="E171" s="697"/>
      <c r="F171" s="698">
        <f t="shared" ref="F171:Q171" si="56">(F161+G161)/2*F$4</f>
        <v>0</v>
      </c>
      <c r="G171" s="698">
        <f t="shared" si="56"/>
        <v>0</v>
      </c>
      <c r="H171" s="698" t="e">
        <f t="shared" si="56"/>
        <v>#REF!</v>
      </c>
      <c r="I171" s="698" t="e">
        <f t="shared" si="56"/>
        <v>#REF!</v>
      </c>
      <c r="J171" s="698" t="e">
        <f t="shared" si="56"/>
        <v>#REF!</v>
      </c>
      <c r="K171" s="698" t="e">
        <f t="shared" si="56"/>
        <v>#REF!</v>
      </c>
      <c r="L171" s="698" t="e">
        <f t="shared" si="56"/>
        <v>#REF!</v>
      </c>
      <c r="M171" s="698" t="e">
        <f t="shared" si="56"/>
        <v>#REF!</v>
      </c>
      <c r="N171" s="698" t="e">
        <f t="shared" si="56"/>
        <v>#REF!</v>
      </c>
      <c r="O171" s="698" t="e">
        <f t="shared" si="56"/>
        <v>#REF!</v>
      </c>
      <c r="P171" s="698" t="e">
        <f t="shared" si="56"/>
        <v>#REF!</v>
      </c>
      <c r="Q171" s="698" t="e">
        <f t="shared" si="56"/>
        <v>#REF!</v>
      </c>
      <c r="R171" s="699" t="e">
        <f t="shared" si="55"/>
        <v>#REF!</v>
      </c>
    </row>
    <row r="172" spans="1:18" s="666" customFormat="1" ht="12.75" outlineLevel="1" thickBot="1">
      <c r="A172" s="700" t="s">
        <v>257</v>
      </c>
      <c r="B172" s="701"/>
      <c r="C172" s="701"/>
      <c r="D172" s="702"/>
      <c r="E172" s="703"/>
      <c r="F172" s="704">
        <f t="shared" ref="F172:Q172" si="57">F171/F$4</f>
        <v>0</v>
      </c>
      <c r="G172" s="705">
        <f t="shared" si="57"/>
        <v>0</v>
      </c>
      <c r="H172" s="705" t="e">
        <f t="shared" si="57"/>
        <v>#REF!</v>
      </c>
      <c r="I172" s="705" t="e">
        <f t="shared" si="57"/>
        <v>#REF!</v>
      </c>
      <c r="J172" s="705" t="e">
        <f t="shared" si="57"/>
        <v>#REF!</v>
      </c>
      <c r="K172" s="705" t="e">
        <f t="shared" si="57"/>
        <v>#REF!</v>
      </c>
      <c r="L172" s="705" t="e">
        <f t="shared" si="57"/>
        <v>#REF!</v>
      </c>
      <c r="M172" s="705" t="e">
        <f t="shared" si="57"/>
        <v>#REF!</v>
      </c>
      <c r="N172" s="705" t="e">
        <f t="shared" si="57"/>
        <v>#REF!</v>
      </c>
      <c r="O172" s="705" t="e">
        <f t="shared" si="57"/>
        <v>#REF!</v>
      </c>
      <c r="P172" s="705" t="e">
        <f t="shared" si="57"/>
        <v>#REF!</v>
      </c>
      <c r="Q172" s="705" t="e">
        <f t="shared" si="57"/>
        <v>#REF!</v>
      </c>
      <c r="R172" s="706" t="e">
        <f>R171/R$4</f>
        <v>#REF!</v>
      </c>
    </row>
    <row r="173" spans="1:18" s="641" customFormat="1" ht="12.75" thickBot="1">
      <c r="A173" s="650" t="s">
        <v>272</v>
      </c>
      <c r="B173" s="651"/>
      <c r="C173" s="651"/>
      <c r="D173" s="652"/>
      <c r="E173" s="652"/>
      <c r="F173" s="651"/>
      <c r="G173" s="651"/>
      <c r="H173" s="651"/>
      <c r="I173" s="651"/>
      <c r="J173" s="651"/>
      <c r="K173" s="651"/>
      <c r="L173" s="651"/>
      <c r="M173" s="651"/>
      <c r="N173" s="651"/>
      <c r="O173" s="651"/>
      <c r="P173" s="651"/>
      <c r="Q173" s="651"/>
      <c r="R173" s="653"/>
    </row>
    <row r="174" spans="1:18" s="641" customFormat="1" ht="12.75" outlineLevel="1" thickBot="1">
      <c r="A174" s="654" t="s">
        <v>245</v>
      </c>
      <c r="B174" s="655"/>
      <c r="C174" s="655"/>
      <c r="D174" s="656"/>
      <c r="E174" s="657"/>
      <c r="F174" s="655"/>
      <c r="G174" s="655"/>
      <c r="H174" s="655"/>
      <c r="I174" s="655"/>
      <c r="J174" s="655"/>
      <c r="K174" s="655"/>
      <c r="L174" s="655"/>
      <c r="M174" s="655"/>
      <c r="N174" s="655"/>
      <c r="O174" s="655"/>
      <c r="P174" s="655"/>
      <c r="Q174" s="655"/>
      <c r="R174" s="658"/>
    </row>
    <row r="175" spans="1:18" s="666" customFormat="1" outlineLevel="1">
      <c r="A175" s="659" t="s">
        <v>259</v>
      </c>
      <c r="B175" s="707"/>
      <c r="C175" s="660">
        <f>B175</f>
        <v>0</v>
      </c>
      <c r="D175" s="708"/>
      <c r="E175" s="742"/>
      <c r="F175" s="663">
        <f>B175</f>
        <v>0</v>
      </c>
      <c r="G175" s="664">
        <f>(F175+F176+F177+F178-F180-F181-F182-F183-F184)</f>
        <v>0</v>
      </c>
      <c r="H175" s="664">
        <f>(G175+G176+G177+G178-G180-G181-G182-G183-G184)</f>
        <v>0</v>
      </c>
      <c r="I175" s="664" t="e">
        <f t="shared" ref="I175:Q175" si="58">(H175+H176+H177+H178-H180-H181-H182-H183-H184)</f>
        <v>#REF!</v>
      </c>
      <c r="J175" s="664" t="e">
        <f t="shared" si="58"/>
        <v>#REF!</v>
      </c>
      <c r="K175" s="664" t="e">
        <f>(J175+J176+J177+J178-J180-J181-J182-J183-J184)</f>
        <v>#REF!</v>
      </c>
      <c r="L175" s="664" t="e">
        <f t="shared" si="58"/>
        <v>#REF!</v>
      </c>
      <c r="M175" s="664" t="e">
        <f t="shared" si="58"/>
        <v>#REF!</v>
      </c>
      <c r="N175" s="664" t="e">
        <f t="shared" si="58"/>
        <v>#REF!</v>
      </c>
      <c r="O175" s="664" t="e">
        <f t="shared" si="58"/>
        <v>#REF!</v>
      </c>
      <c r="P175" s="664" t="e">
        <f t="shared" si="58"/>
        <v>#REF!</v>
      </c>
      <c r="Q175" s="664" t="e">
        <f t="shared" si="58"/>
        <v>#REF!</v>
      </c>
      <c r="R175" s="665" t="e">
        <f>(Q175+Q176+Q177+Q178-Q180-Q181-Q182-Q183-Q184)</f>
        <v>#REF!</v>
      </c>
    </row>
    <row r="176" spans="1:18" s="666" customFormat="1" outlineLevel="1">
      <c r="A176" s="710" t="s">
        <v>271</v>
      </c>
      <c r="B176" s="668"/>
      <c r="C176" s="669"/>
      <c r="D176" s="670"/>
      <c r="E176" s="671"/>
      <c r="F176" s="672"/>
      <c r="G176" s="673"/>
      <c r="H176" s="673" t="e">
        <f>ROUNDDOWN(((B35+B63)/2)*85%,0)</f>
        <v>#REF!</v>
      </c>
      <c r="I176" s="673"/>
      <c r="J176" s="673"/>
      <c r="K176" s="673"/>
      <c r="L176" s="673"/>
      <c r="M176" s="673"/>
      <c r="N176" s="673"/>
      <c r="O176" s="673"/>
      <c r="P176" s="673"/>
      <c r="Q176" s="673"/>
      <c r="R176" s="674" t="e">
        <f t="shared" ref="R176:R185" si="59">SUM(F176:Q176)</f>
        <v>#REF!</v>
      </c>
    </row>
    <row r="177" spans="1:18" s="666" customFormat="1" outlineLevel="1">
      <c r="A177" s="710" t="s">
        <v>248</v>
      </c>
      <c r="B177" s="675"/>
      <c r="C177" s="676"/>
      <c r="D177" s="676"/>
      <c r="E177" s="677"/>
      <c r="F177" s="672"/>
      <c r="G177" s="673"/>
      <c r="H177" s="673"/>
      <c r="I177" s="673"/>
      <c r="J177" s="673"/>
      <c r="K177" s="673"/>
      <c r="L177" s="673"/>
      <c r="M177" s="673"/>
      <c r="N177" s="673"/>
      <c r="O177" s="673"/>
      <c r="P177" s="673"/>
      <c r="Q177" s="673"/>
      <c r="R177" s="674">
        <f t="shared" si="59"/>
        <v>0</v>
      </c>
    </row>
    <row r="178" spans="1:18" s="666" customFormat="1" ht="12.75" outlineLevel="1" thickBot="1">
      <c r="A178" s="714" t="s">
        <v>249</v>
      </c>
      <c r="B178" s="675"/>
      <c r="C178" s="676"/>
      <c r="D178" s="676"/>
      <c r="E178" s="677"/>
      <c r="F178" s="672"/>
      <c r="G178" s="673"/>
      <c r="H178" s="673"/>
      <c r="I178" s="673"/>
      <c r="J178" s="673"/>
      <c r="K178" s="673"/>
      <c r="L178" s="673"/>
      <c r="M178" s="673"/>
      <c r="N178" s="673"/>
      <c r="O178" s="673"/>
      <c r="P178" s="673"/>
      <c r="Q178" s="673"/>
      <c r="R178" s="674">
        <f t="shared" si="59"/>
        <v>0</v>
      </c>
    </row>
    <row r="179" spans="1:18" s="641" customFormat="1" ht="12.75" outlineLevel="1" thickBot="1">
      <c r="A179" s="715" t="s">
        <v>250</v>
      </c>
      <c r="B179" s="675"/>
      <c r="C179" s="676"/>
      <c r="D179" s="676"/>
      <c r="E179" s="677"/>
      <c r="F179" s="683"/>
      <c r="G179" s="655"/>
      <c r="H179" s="655"/>
      <c r="I179" s="655"/>
      <c r="J179" s="655"/>
      <c r="K179" s="655"/>
      <c r="L179" s="655"/>
      <c r="M179" s="655"/>
      <c r="N179" s="655"/>
      <c r="O179" s="655"/>
      <c r="P179" s="655"/>
      <c r="Q179" s="655"/>
      <c r="R179" s="684">
        <f t="shared" si="59"/>
        <v>0</v>
      </c>
    </row>
    <row r="180" spans="1:18" s="666" customFormat="1" outlineLevel="1">
      <c r="A180" s="718" t="s">
        <v>251</v>
      </c>
      <c r="B180" s="675"/>
      <c r="C180" s="676"/>
      <c r="D180" s="676"/>
      <c r="E180" s="677"/>
      <c r="F180" s="672"/>
      <c r="G180" s="673"/>
      <c r="H180" s="673"/>
      <c r="I180" s="673"/>
      <c r="J180" s="673"/>
      <c r="K180" s="673"/>
      <c r="L180" s="673"/>
      <c r="M180" s="673"/>
      <c r="N180" s="673"/>
      <c r="O180" s="673"/>
      <c r="P180" s="673"/>
      <c r="Q180" s="688" t="e">
        <f>Q175</f>
        <v>#REF!</v>
      </c>
      <c r="R180" s="674" t="e">
        <f t="shared" si="59"/>
        <v>#REF!</v>
      </c>
    </row>
    <row r="181" spans="1:18" s="666" customFormat="1" ht="24" outlineLevel="1">
      <c r="A181" s="722" t="s">
        <v>252</v>
      </c>
      <c r="B181" s="675"/>
      <c r="C181" s="676"/>
      <c r="D181" s="676"/>
      <c r="E181" s="677"/>
      <c r="F181" s="672"/>
      <c r="G181" s="673"/>
      <c r="H181" s="673"/>
      <c r="I181" s="673"/>
      <c r="J181" s="673"/>
      <c r="K181" s="673"/>
      <c r="L181" s="673"/>
      <c r="M181" s="673"/>
      <c r="N181" s="673"/>
      <c r="O181" s="673"/>
      <c r="P181" s="673"/>
      <c r="Q181" s="673"/>
      <c r="R181" s="674">
        <f t="shared" si="59"/>
        <v>0</v>
      </c>
    </row>
    <row r="182" spans="1:18" s="666" customFormat="1" outlineLevel="1">
      <c r="A182" s="722" t="s">
        <v>253</v>
      </c>
      <c r="B182" s="675"/>
      <c r="C182" s="676"/>
      <c r="D182" s="676"/>
      <c r="E182" s="677"/>
      <c r="F182" s="672"/>
      <c r="G182" s="673"/>
      <c r="H182" s="673"/>
      <c r="I182" s="673"/>
      <c r="J182" s="673"/>
      <c r="K182" s="673"/>
      <c r="L182" s="673"/>
      <c r="M182" s="673"/>
      <c r="N182" s="673"/>
      <c r="O182" s="673"/>
      <c r="P182" s="673"/>
      <c r="Q182" s="673"/>
      <c r="R182" s="674">
        <f t="shared" si="59"/>
        <v>0</v>
      </c>
    </row>
    <row r="183" spans="1:18" s="666" customFormat="1" outlineLevel="1">
      <c r="A183" s="722" t="s">
        <v>254</v>
      </c>
      <c r="B183" s="675"/>
      <c r="C183" s="676"/>
      <c r="D183" s="676"/>
      <c r="E183" s="677"/>
      <c r="F183" s="711"/>
      <c r="G183" s="673"/>
      <c r="H183" s="673"/>
      <c r="I183" s="673"/>
      <c r="J183" s="673"/>
      <c r="K183" s="713"/>
      <c r="L183" s="673"/>
      <c r="M183" s="673"/>
      <c r="N183" s="673"/>
      <c r="O183" s="673"/>
      <c r="P183" s="673"/>
      <c r="Q183" s="673"/>
      <c r="R183" s="674">
        <f t="shared" si="59"/>
        <v>0</v>
      </c>
    </row>
    <row r="184" spans="1:18" s="666" customFormat="1" outlineLevel="1">
      <c r="A184" s="722" t="s">
        <v>255</v>
      </c>
      <c r="B184" s="675"/>
      <c r="C184" s="676"/>
      <c r="D184" s="676"/>
      <c r="E184" s="677"/>
      <c r="F184" s="672"/>
      <c r="G184" s="673"/>
      <c r="H184" s="673"/>
      <c r="I184" s="673"/>
      <c r="J184" s="673"/>
      <c r="K184" s="673"/>
      <c r="L184" s="673"/>
      <c r="M184" s="673"/>
      <c r="N184" s="673"/>
      <c r="O184" s="673"/>
      <c r="P184" s="673"/>
      <c r="Q184" s="673"/>
      <c r="R184" s="674">
        <f t="shared" si="59"/>
        <v>0</v>
      </c>
    </row>
    <row r="185" spans="1:18" s="666" customFormat="1" outlineLevel="1">
      <c r="A185" s="725" t="s">
        <v>256</v>
      </c>
      <c r="B185" s="694"/>
      <c r="C185" s="695"/>
      <c r="D185" s="696"/>
      <c r="E185" s="697"/>
      <c r="F185" s="698">
        <f>(F175+G175)/2*F$4</f>
        <v>0</v>
      </c>
      <c r="G185" s="698">
        <f>(G175+H175)/2*G$4</f>
        <v>0</v>
      </c>
      <c r="H185" s="698" t="e">
        <f t="shared" ref="H185:Q185" si="60">(H175+I175)/2*H$4</f>
        <v>#REF!</v>
      </c>
      <c r="I185" s="698" t="e">
        <f t="shared" si="60"/>
        <v>#REF!</v>
      </c>
      <c r="J185" s="698" t="e">
        <f t="shared" si="60"/>
        <v>#REF!</v>
      </c>
      <c r="K185" s="698" t="e">
        <f t="shared" si="60"/>
        <v>#REF!</v>
      </c>
      <c r="L185" s="698" t="e">
        <f t="shared" si="60"/>
        <v>#REF!</v>
      </c>
      <c r="M185" s="698" t="e">
        <f t="shared" si="60"/>
        <v>#REF!</v>
      </c>
      <c r="N185" s="698" t="e">
        <f t="shared" si="60"/>
        <v>#REF!</v>
      </c>
      <c r="O185" s="698" t="e">
        <f t="shared" si="60"/>
        <v>#REF!</v>
      </c>
      <c r="P185" s="698" t="e">
        <f t="shared" si="60"/>
        <v>#REF!</v>
      </c>
      <c r="Q185" s="698" t="e">
        <f t="shared" si="60"/>
        <v>#REF!</v>
      </c>
      <c r="R185" s="699" t="e">
        <f t="shared" si="59"/>
        <v>#REF!</v>
      </c>
    </row>
    <row r="186" spans="1:18" s="666" customFormat="1" ht="12.75" outlineLevel="1" thickBot="1">
      <c r="A186" s="700" t="s">
        <v>257</v>
      </c>
      <c r="B186" s="701"/>
      <c r="C186" s="701"/>
      <c r="D186" s="702"/>
      <c r="E186" s="703"/>
      <c r="F186" s="704">
        <f t="shared" ref="F186:Q186" si="61">F185/F$4</f>
        <v>0</v>
      </c>
      <c r="G186" s="705">
        <f t="shared" si="61"/>
        <v>0</v>
      </c>
      <c r="H186" s="705" t="e">
        <f t="shared" si="61"/>
        <v>#REF!</v>
      </c>
      <c r="I186" s="705" t="e">
        <f t="shared" si="61"/>
        <v>#REF!</v>
      </c>
      <c r="J186" s="705" t="e">
        <f t="shared" si="61"/>
        <v>#REF!</v>
      </c>
      <c r="K186" s="705" t="e">
        <f t="shared" si="61"/>
        <v>#REF!</v>
      </c>
      <c r="L186" s="705" t="e">
        <f t="shared" si="61"/>
        <v>#REF!</v>
      </c>
      <c r="M186" s="705" t="e">
        <f t="shared" si="61"/>
        <v>#REF!</v>
      </c>
      <c r="N186" s="705" t="e">
        <f t="shared" si="61"/>
        <v>#REF!</v>
      </c>
      <c r="O186" s="705" t="e">
        <f t="shared" si="61"/>
        <v>#REF!</v>
      </c>
      <c r="P186" s="705" t="e">
        <f t="shared" si="61"/>
        <v>#REF!</v>
      </c>
      <c r="Q186" s="705" t="e">
        <f t="shared" si="61"/>
        <v>#REF!</v>
      </c>
      <c r="R186" s="706" t="e">
        <f>R185/R$4</f>
        <v>#REF!</v>
      </c>
    </row>
    <row r="187" spans="1:18" s="754" customFormat="1">
      <c r="A187" s="748"/>
      <c r="B187" s="749"/>
      <c r="C187" s="749"/>
      <c r="D187" s="750"/>
      <c r="E187" s="749"/>
      <c r="F187" s="751"/>
      <c r="G187" s="752"/>
      <c r="H187" s="752"/>
      <c r="I187" s="752"/>
      <c r="J187" s="752"/>
      <c r="K187" s="752"/>
      <c r="L187" s="752"/>
      <c r="M187" s="752"/>
      <c r="N187" s="752"/>
      <c r="O187" s="752"/>
      <c r="P187" s="752"/>
      <c r="Q187" s="752"/>
      <c r="R187" s="753"/>
    </row>
    <row r="188" spans="1:18">
      <c r="A188" s="755" t="s">
        <v>273</v>
      </c>
      <c r="B188" s="756"/>
      <c r="C188" s="757"/>
      <c r="D188" s="758"/>
      <c r="E188" s="759"/>
      <c r="F188" s="760" t="e">
        <f>SUM(F17,F31,F45,F59,F73,F87,F101,F115,F129,F143,F157,F171,F185)</f>
        <v>#REF!</v>
      </c>
      <c r="G188" s="761" t="e">
        <f t="shared" ref="G188:Q188" si="62">SUM(G17,G31,G45,G59,G73,G87,G101,G115,G129,G143,G157,G171,G185)</f>
        <v>#REF!</v>
      </c>
      <c r="H188" s="761" t="e">
        <f t="shared" si="62"/>
        <v>#REF!</v>
      </c>
      <c r="I188" s="761" t="e">
        <f t="shared" si="62"/>
        <v>#REF!</v>
      </c>
      <c r="J188" s="761" t="e">
        <f t="shared" si="62"/>
        <v>#REF!</v>
      </c>
      <c r="K188" s="761" t="e">
        <f t="shared" si="62"/>
        <v>#REF!</v>
      </c>
      <c r="L188" s="761" t="e">
        <f t="shared" si="62"/>
        <v>#REF!</v>
      </c>
      <c r="M188" s="761" t="e">
        <f t="shared" si="62"/>
        <v>#REF!</v>
      </c>
      <c r="N188" s="761" t="e">
        <f t="shared" si="62"/>
        <v>#REF!</v>
      </c>
      <c r="O188" s="761" t="e">
        <f t="shared" si="62"/>
        <v>#REF!</v>
      </c>
      <c r="P188" s="761" t="e">
        <f t="shared" si="62"/>
        <v>#REF!</v>
      </c>
      <c r="Q188" s="761" t="e">
        <f t="shared" si="62"/>
        <v>#REF!</v>
      </c>
      <c r="R188" s="762" t="e">
        <f>SUM(R17,R31,R45,R59,R73,R87,R101,R115,R129,R143,R157,R171,R185)</f>
        <v>#REF!</v>
      </c>
    </row>
    <row r="189" spans="1:18" s="666" customFormat="1">
      <c r="A189" s="763" t="s">
        <v>257</v>
      </c>
      <c r="B189" s="764"/>
      <c r="C189" s="764"/>
      <c r="D189" s="765"/>
      <c r="E189" s="766"/>
      <c r="F189" s="767" t="e">
        <f>F188/F$4</f>
        <v>#REF!</v>
      </c>
      <c r="G189" s="768" t="e">
        <f t="shared" ref="G189:Q189" si="63">G188/G$4</f>
        <v>#REF!</v>
      </c>
      <c r="H189" s="768" t="e">
        <f t="shared" si="63"/>
        <v>#REF!</v>
      </c>
      <c r="I189" s="768" t="e">
        <f t="shared" si="63"/>
        <v>#REF!</v>
      </c>
      <c r="J189" s="768" t="e">
        <f t="shared" si="63"/>
        <v>#REF!</v>
      </c>
      <c r="K189" s="768" t="e">
        <f t="shared" si="63"/>
        <v>#REF!</v>
      </c>
      <c r="L189" s="768" t="e">
        <f t="shared" si="63"/>
        <v>#REF!</v>
      </c>
      <c r="M189" s="768" t="e">
        <f t="shared" si="63"/>
        <v>#REF!</v>
      </c>
      <c r="N189" s="768" t="e">
        <f t="shared" si="63"/>
        <v>#REF!</v>
      </c>
      <c r="O189" s="768" t="e">
        <f t="shared" si="63"/>
        <v>#REF!</v>
      </c>
      <c r="P189" s="768" t="e">
        <f t="shared" si="63"/>
        <v>#REF!</v>
      </c>
      <c r="Q189" s="768" t="e">
        <f t="shared" si="63"/>
        <v>#REF!</v>
      </c>
      <c r="R189" s="769" t="e">
        <f>R188/R$4</f>
        <v>#REF!</v>
      </c>
    </row>
    <row r="190" spans="1:18" ht="12.75" thickBot="1">
      <c r="A190" s="770" t="s">
        <v>274</v>
      </c>
      <c r="B190" s="771" t="e">
        <f>SUM(B7,B21,B35,B49,B63,B77,B91,B105,B119,B133,B147,B161,B175)</f>
        <v>#REF!</v>
      </c>
      <c r="C190" s="771" t="e">
        <f>SUM(C7,C21,C35,C49,C63,C77,C91,C105,C119,C133,C147,C161,C175)</f>
        <v>#REF!</v>
      </c>
      <c r="D190" s="772" t="e">
        <f>SUM(D7,D21,D35,D49,D63,D77,D91,D105,D119,D133,D147,D161,D175)</f>
        <v>#REF!</v>
      </c>
      <c r="E190" s="773" t="e">
        <f>SUM(E7,E21,E35,E49,E63,E77,E91,E105,E119,E133,E147,E161,E175)</f>
        <v>#REF!</v>
      </c>
      <c r="F190" s="774" t="e">
        <f>SUM(F7,F21,F35,F49,F63,F77,F91,F105,F119,F133,F147,F161,F175)</f>
        <v>#REF!</v>
      </c>
      <c r="G190" s="775" t="e">
        <f t="shared" ref="G190:Q190" si="64">SUM(G7,G21,G35,G49,G63,G77,G91,G105,G119,G133,G147,G161,G175)</f>
        <v>#REF!</v>
      </c>
      <c r="H190" s="775" t="e">
        <f t="shared" si="64"/>
        <v>#REF!</v>
      </c>
      <c r="I190" s="775" t="e">
        <f t="shared" si="64"/>
        <v>#REF!</v>
      </c>
      <c r="J190" s="775" t="e">
        <f t="shared" si="64"/>
        <v>#REF!</v>
      </c>
      <c r="K190" s="775" t="e">
        <f t="shared" si="64"/>
        <v>#REF!</v>
      </c>
      <c r="L190" s="775" t="e">
        <f t="shared" si="64"/>
        <v>#REF!</v>
      </c>
      <c r="M190" s="775" t="e">
        <f t="shared" si="64"/>
        <v>#REF!</v>
      </c>
      <c r="N190" s="775" t="e">
        <f t="shared" si="64"/>
        <v>#REF!</v>
      </c>
      <c r="O190" s="775" t="e">
        <f t="shared" si="64"/>
        <v>#REF!</v>
      </c>
      <c r="P190" s="775" t="e">
        <f t="shared" si="64"/>
        <v>#REF!</v>
      </c>
      <c r="Q190" s="775" t="e">
        <f t="shared" si="64"/>
        <v>#REF!</v>
      </c>
      <c r="R190" s="776" t="e">
        <f>SUM(R7,R21,R35,R49,R63,R77,R91,R105,R119,R133,R147,R161,R175)</f>
        <v>#REF!</v>
      </c>
    </row>
    <row r="191" spans="1:18" s="782" customFormat="1" ht="12" hidden="1" customHeight="1">
      <c r="A191" s="777">
        <v>38139</v>
      </c>
      <c r="B191" s="778"/>
      <c r="C191" s="778"/>
      <c r="D191" s="779"/>
      <c r="E191" s="780" t="s">
        <v>275</v>
      </c>
      <c r="F191" s="778">
        <f t="shared" ref="F191:N191" si="65">(F176-F180-F181-F182-F183-F184+F162-F170-F169-F168-F167-F166)*$D$217</f>
        <v>0</v>
      </c>
      <c r="G191" s="778">
        <f>(G176-G180-G181-G182-G183-G184+G162-G170-G169-G168-G167-G166)*$D$217</f>
        <v>0</v>
      </c>
      <c r="H191" s="778" t="e">
        <f t="shared" si="65"/>
        <v>#REF!</v>
      </c>
      <c r="I191" s="778">
        <f t="shared" si="65"/>
        <v>0</v>
      </c>
      <c r="J191" s="778">
        <f t="shared" si="65"/>
        <v>0</v>
      </c>
      <c r="K191" s="778">
        <f t="shared" si="65"/>
        <v>0</v>
      </c>
      <c r="L191" s="778">
        <f t="shared" si="65"/>
        <v>0</v>
      </c>
      <c r="M191" s="778">
        <f t="shared" si="65"/>
        <v>0</v>
      </c>
      <c r="N191" s="778">
        <f t="shared" si="65"/>
        <v>0</v>
      </c>
      <c r="O191" s="778">
        <f>(O176-O180-O181-O182-O183-O184+O162-O170-O169-O168-O167-O166)*SUM($D$199:$D$205)</f>
        <v>0</v>
      </c>
      <c r="P191" s="778">
        <f>(P176-P180-P181-P182-P183-P184+P162-P170-P169-P168-P167-P166)*SUM($D$199:$D$203)</f>
        <v>0</v>
      </c>
      <c r="Q191" s="778" t="e">
        <f>(Q176-Q180-Q181-Q182-Q183-Q184+Q162-Q170-Q169-Q168-Q167-Q166)*SUM($D$199:$D$200)</f>
        <v>#REF!</v>
      </c>
      <c r="R191" s="781" t="e">
        <f>SUM(F191:Q191)</f>
        <v>#REF!</v>
      </c>
    </row>
    <row r="192" spans="1:18" s="782" customFormat="1" ht="12" hidden="1" customHeight="1">
      <c r="A192" s="777">
        <v>38261</v>
      </c>
      <c r="B192" s="778"/>
      <c r="C192" s="778"/>
      <c r="D192" s="779"/>
      <c r="E192" s="780" t="s">
        <v>276</v>
      </c>
      <c r="F192" s="778">
        <f t="shared" ref="F192:N192" si="66">(F176-F180-F181-F182-F183-F184+F162-F170-F169-F168-F167-F166)*$F$217</f>
        <v>0</v>
      </c>
      <c r="G192" s="778">
        <f>(G176-G180-G181-G182-G183-G184+G162-G170-G169-G168-G167-G166)*$F$217</f>
        <v>0</v>
      </c>
      <c r="H192" s="778" t="e">
        <f t="shared" si="66"/>
        <v>#REF!</v>
      </c>
      <c r="I192" s="778">
        <f t="shared" si="66"/>
        <v>0</v>
      </c>
      <c r="J192" s="778">
        <f t="shared" si="66"/>
        <v>0</v>
      </c>
      <c r="K192" s="778">
        <f t="shared" si="66"/>
        <v>0</v>
      </c>
      <c r="L192" s="778">
        <f t="shared" si="66"/>
        <v>0</v>
      </c>
      <c r="M192" s="778">
        <f t="shared" si="66"/>
        <v>0</v>
      </c>
      <c r="N192" s="778">
        <f t="shared" si="66"/>
        <v>0</v>
      </c>
      <c r="O192" s="778">
        <f>(O176-O180-O181-O182-O183-O184+O162-O170-O169-O168-O167-O166)*SUM($F$199:$F$205)</f>
        <v>0</v>
      </c>
      <c r="P192" s="778">
        <f>(P176-P180-P181-P182-P183-P184+P162-P170-P169-P168-P167-P166)*SUM($F$199:$F$203)</f>
        <v>0</v>
      </c>
      <c r="Q192" s="778" t="e">
        <f>(Q176-Q180-Q181-Q182-Q183-Q184+Q162-Q170-Q169-Q168-Q167-Q166)*SUM($F$199:$F$200)</f>
        <v>#REF!</v>
      </c>
      <c r="R192" s="781" t="e">
        <f>SUM(F192:Q192)</f>
        <v>#REF!</v>
      </c>
    </row>
    <row r="193" spans="1:18" s="782" customFormat="1" ht="12" hidden="1" customHeight="1">
      <c r="A193" s="783"/>
      <c r="B193" s="778"/>
      <c r="C193" s="778"/>
      <c r="D193" s="779"/>
      <c r="E193" s="784"/>
      <c r="F193" s="778"/>
      <c r="G193" s="778"/>
      <c r="H193" s="778"/>
      <c r="I193" s="778"/>
      <c r="J193" s="778"/>
      <c r="K193" s="778"/>
      <c r="L193" s="778"/>
      <c r="M193" s="778"/>
      <c r="N193" s="778"/>
      <c r="O193" s="778"/>
      <c r="P193" s="778"/>
      <c r="Q193" s="778"/>
      <c r="R193" s="781"/>
    </row>
    <row r="194" spans="1:18" s="782" customFormat="1" ht="12" hidden="1" customHeight="1">
      <c r="A194" s="783"/>
      <c r="B194" s="778"/>
      <c r="C194" s="778"/>
      <c r="D194" s="779"/>
      <c r="E194" s="784"/>
      <c r="F194" s="778"/>
      <c r="G194" s="778"/>
      <c r="H194" s="778"/>
      <c r="I194" s="778"/>
      <c r="J194" s="778"/>
      <c r="K194" s="778"/>
      <c r="L194" s="778"/>
      <c r="M194" s="778"/>
      <c r="N194" s="778"/>
      <c r="O194" s="778"/>
      <c r="P194" s="778"/>
      <c r="Q194" s="778"/>
      <c r="R194" s="781"/>
    </row>
    <row r="195" spans="1:18" s="782" customFormat="1" ht="12" hidden="1" customHeight="1">
      <c r="A195" s="783"/>
      <c r="B195" s="778"/>
      <c r="C195" s="778"/>
      <c r="D195" s="779"/>
      <c r="E195" s="784"/>
      <c r="F195" s="778"/>
      <c r="G195" s="778"/>
      <c r="H195" s="778"/>
      <c r="I195" s="778"/>
      <c r="J195" s="778"/>
      <c r="K195" s="778"/>
      <c r="L195" s="778"/>
      <c r="M195" s="778"/>
      <c r="N195" s="778"/>
      <c r="O195" s="778"/>
      <c r="P195" s="778"/>
      <c r="Q195" s="778"/>
      <c r="R195" s="781"/>
    </row>
    <row r="196" spans="1:18" s="782" customFormat="1" ht="12" hidden="1" customHeight="1">
      <c r="A196" s="783"/>
      <c r="B196" s="778"/>
      <c r="C196" s="778"/>
      <c r="D196" s="779"/>
      <c r="E196" s="784"/>
      <c r="F196" s="778"/>
      <c r="G196" s="778"/>
      <c r="H196" s="778"/>
      <c r="I196" s="778"/>
      <c r="J196" s="778"/>
      <c r="K196" s="778"/>
      <c r="L196" s="778"/>
      <c r="M196" s="778"/>
      <c r="N196" s="778"/>
      <c r="O196" s="778"/>
      <c r="P196" s="778"/>
      <c r="Q196" s="778"/>
      <c r="R196" s="781"/>
    </row>
    <row r="197" spans="1:18" ht="12" hidden="1" customHeight="1"/>
    <row r="198" spans="1:18" s="792" customFormat="1" ht="22.5" hidden="1" customHeight="1">
      <c r="A198" s="790"/>
      <c r="B198" s="791"/>
      <c r="C198" s="2309" t="s">
        <v>275</v>
      </c>
      <c r="D198" s="2309"/>
      <c r="E198" s="2309" t="s">
        <v>276</v>
      </c>
      <c r="F198" s="2309"/>
      <c r="G198" s="2309" t="s">
        <v>277</v>
      </c>
      <c r="H198" s="2309"/>
      <c r="I198" s="2310" t="s">
        <v>278</v>
      </c>
      <c r="J198" s="2310"/>
      <c r="K198" s="2310" t="s">
        <v>279</v>
      </c>
      <c r="L198" s="2310"/>
      <c r="M198" s="2309" t="s">
        <v>280</v>
      </c>
      <c r="N198" s="2309"/>
      <c r="O198" s="2310" t="s">
        <v>281</v>
      </c>
      <c r="P198" s="2310"/>
      <c r="Q198" s="2310" t="s">
        <v>282</v>
      </c>
      <c r="R198" s="2310"/>
    </row>
    <row r="199" spans="1:18" ht="12" hidden="1" customHeight="1">
      <c r="A199" s="793">
        <v>1</v>
      </c>
      <c r="B199" s="794">
        <v>10</v>
      </c>
      <c r="C199" s="795">
        <v>4.5</v>
      </c>
      <c r="D199" s="796">
        <f t="shared" ref="D199:D216" si="67">C199*$B199</f>
        <v>45</v>
      </c>
      <c r="E199" s="797"/>
      <c r="F199" s="798">
        <f t="shared" ref="F199:F216" si="68">E199*$B199</f>
        <v>0</v>
      </c>
      <c r="G199" s="795"/>
      <c r="H199" s="798">
        <f t="shared" ref="H199:H216" si="69">G199*$B199</f>
        <v>0</v>
      </c>
      <c r="I199" s="798"/>
      <c r="J199" s="798">
        <f t="shared" ref="J199:J216" si="70">I199*$B199</f>
        <v>0</v>
      </c>
      <c r="K199" s="798"/>
      <c r="L199" s="798">
        <f t="shared" ref="L199:L216" si="71">K199*$B199</f>
        <v>0</v>
      </c>
      <c r="M199" s="795"/>
      <c r="N199" s="798">
        <f t="shared" ref="N199:N216" si="72">M199*$B199</f>
        <v>0</v>
      </c>
      <c r="O199" s="798"/>
      <c r="P199" s="798">
        <f t="shared" ref="P199:P216" si="73">O199*$B199</f>
        <v>0</v>
      </c>
      <c r="Q199" s="798"/>
      <c r="R199" s="798">
        <f t="shared" ref="R199:R216" si="74">Q199*$B199</f>
        <v>0</v>
      </c>
    </row>
    <row r="200" spans="1:18" ht="12" hidden="1" customHeight="1">
      <c r="A200" s="799">
        <v>2</v>
      </c>
      <c r="B200" s="800">
        <v>10</v>
      </c>
      <c r="C200" s="801">
        <v>5</v>
      </c>
      <c r="D200" s="802">
        <f t="shared" si="67"/>
        <v>50</v>
      </c>
      <c r="E200" s="803"/>
      <c r="F200" s="804">
        <f t="shared" si="68"/>
        <v>0</v>
      </c>
      <c r="G200" s="801"/>
      <c r="H200" s="804">
        <f t="shared" si="69"/>
        <v>0</v>
      </c>
      <c r="I200" s="804"/>
      <c r="J200" s="804">
        <f t="shared" si="70"/>
        <v>0</v>
      </c>
      <c r="K200" s="804"/>
      <c r="L200" s="804">
        <f t="shared" si="71"/>
        <v>0</v>
      </c>
      <c r="M200" s="801"/>
      <c r="N200" s="804">
        <f t="shared" si="72"/>
        <v>0</v>
      </c>
      <c r="O200" s="804"/>
      <c r="P200" s="804">
        <f t="shared" si="73"/>
        <v>0</v>
      </c>
      <c r="Q200" s="804"/>
      <c r="R200" s="804">
        <f t="shared" si="74"/>
        <v>0</v>
      </c>
    </row>
    <row r="201" spans="1:18" ht="12.75" hidden="1" customHeight="1" thickBot="1">
      <c r="A201" s="805">
        <v>3</v>
      </c>
      <c r="B201" s="806">
        <v>10</v>
      </c>
      <c r="C201" s="807">
        <v>5</v>
      </c>
      <c r="D201" s="808">
        <f t="shared" si="67"/>
        <v>50</v>
      </c>
      <c r="E201" s="809">
        <v>0.1</v>
      </c>
      <c r="F201" s="810">
        <f t="shared" si="68"/>
        <v>1</v>
      </c>
      <c r="G201" s="807">
        <v>0.1</v>
      </c>
      <c r="H201" s="810">
        <f t="shared" si="69"/>
        <v>1</v>
      </c>
      <c r="I201" s="810"/>
      <c r="J201" s="810">
        <f t="shared" si="70"/>
        <v>0</v>
      </c>
      <c r="K201" s="810"/>
      <c r="L201" s="810">
        <f t="shared" si="71"/>
        <v>0</v>
      </c>
      <c r="M201" s="807"/>
      <c r="N201" s="810">
        <f t="shared" si="72"/>
        <v>0</v>
      </c>
      <c r="O201" s="810">
        <v>5</v>
      </c>
      <c r="P201" s="810">
        <f t="shared" si="73"/>
        <v>50</v>
      </c>
      <c r="Q201" s="810">
        <v>5</v>
      </c>
      <c r="R201" s="810">
        <f t="shared" si="74"/>
        <v>50</v>
      </c>
    </row>
    <row r="202" spans="1:18" ht="12" hidden="1" customHeight="1">
      <c r="A202" s="793">
        <v>1</v>
      </c>
      <c r="B202" s="794">
        <v>10</v>
      </c>
      <c r="C202" s="795">
        <v>4.5</v>
      </c>
      <c r="D202" s="796">
        <f t="shared" si="67"/>
        <v>45</v>
      </c>
      <c r="E202" s="797">
        <v>0.5</v>
      </c>
      <c r="F202" s="798">
        <f t="shared" si="68"/>
        <v>5</v>
      </c>
      <c r="G202" s="795">
        <v>0.5</v>
      </c>
      <c r="H202" s="798">
        <f t="shared" si="69"/>
        <v>5</v>
      </c>
      <c r="I202" s="798"/>
      <c r="J202" s="798">
        <f t="shared" si="70"/>
        <v>0</v>
      </c>
      <c r="K202" s="798">
        <v>0.2</v>
      </c>
      <c r="L202" s="798">
        <f t="shared" si="71"/>
        <v>2</v>
      </c>
      <c r="M202" s="795">
        <v>0.4</v>
      </c>
      <c r="N202" s="798">
        <f t="shared" si="72"/>
        <v>4</v>
      </c>
      <c r="O202" s="798">
        <v>10</v>
      </c>
      <c r="P202" s="798">
        <f t="shared" si="73"/>
        <v>100</v>
      </c>
      <c r="Q202" s="798">
        <v>10</v>
      </c>
      <c r="R202" s="798">
        <f t="shared" si="74"/>
        <v>100</v>
      </c>
    </row>
    <row r="203" spans="1:18" ht="12" hidden="1" customHeight="1">
      <c r="A203" s="799">
        <v>2</v>
      </c>
      <c r="B203" s="800">
        <v>10</v>
      </c>
      <c r="C203" s="801">
        <v>3.5</v>
      </c>
      <c r="D203" s="802">
        <f t="shared" si="67"/>
        <v>35</v>
      </c>
      <c r="E203" s="803">
        <v>0.8</v>
      </c>
      <c r="F203" s="804">
        <f t="shared" si="68"/>
        <v>8</v>
      </c>
      <c r="G203" s="801">
        <v>0.8</v>
      </c>
      <c r="H203" s="804">
        <f t="shared" si="69"/>
        <v>8</v>
      </c>
      <c r="I203" s="804"/>
      <c r="J203" s="804">
        <f t="shared" si="70"/>
        <v>0</v>
      </c>
      <c r="K203" s="804">
        <v>0.3</v>
      </c>
      <c r="L203" s="804">
        <f t="shared" si="71"/>
        <v>3</v>
      </c>
      <c r="M203" s="801">
        <v>0.7</v>
      </c>
      <c r="N203" s="804">
        <f t="shared" si="72"/>
        <v>7</v>
      </c>
      <c r="O203" s="804">
        <v>10</v>
      </c>
      <c r="P203" s="804">
        <f t="shared" si="73"/>
        <v>100</v>
      </c>
      <c r="Q203" s="804">
        <v>10</v>
      </c>
      <c r="R203" s="804">
        <f t="shared" si="74"/>
        <v>100</v>
      </c>
    </row>
    <row r="204" spans="1:18" ht="12.75" hidden="1" customHeight="1" thickBot="1">
      <c r="A204" s="805">
        <v>3</v>
      </c>
      <c r="B204" s="806">
        <v>10</v>
      </c>
      <c r="C204" s="807">
        <v>2</v>
      </c>
      <c r="D204" s="808">
        <f t="shared" si="67"/>
        <v>20</v>
      </c>
      <c r="E204" s="809">
        <v>1.2</v>
      </c>
      <c r="F204" s="810">
        <f t="shared" si="68"/>
        <v>12</v>
      </c>
      <c r="G204" s="807">
        <v>1.2</v>
      </c>
      <c r="H204" s="810">
        <f t="shared" si="69"/>
        <v>12</v>
      </c>
      <c r="I204" s="810"/>
      <c r="J204" s="810">
        <f t="shared" si="70"/>
        <v>0</v>
      </c>
      <c r="K204" s="810">
        <v>0.5</v>
      </c>
      <c r="L204" s="810">
        <f t="shared" si="71"/>
        <v>5</v>
      </c>
      <c r="M204" s="807">
        <v>1.1000000000000001</v>
      </c>
      <c r="N204" s="810">
        <f t="shared" si="72"/>
        <v>11</v>
      </c>
      <c r="O204" s="810">
        <v>10</v>
      </c>
      <c r="P204" s="810">
        <f t="shared" si="73"/>
        <v>100</v>
      </c>
      <c r="Q204" s="810">
        <v>10</v>
      </c>
      <c r="R204" s="810">
        <f t="shared" si="74"/>
        <v>100</v>
      </c>
    </row>
    <row r="205" spans="1:18" ht="12" hidden="1" customHeight="1">
      <c r="A205" s="793">
        <v>1</v>
      </c>
      <c r="B205" s="794">
        <v>10</v>
      </c>
      <c r="C205" s="795">
        <v>1</v>
      </c>
      <c r="D205" s="796">
        <f t="shared" si="67"/>
        <v>10</v>
      </c>
      <c r="E205" s="797">
        <v>1.5</v>
      </c>
      <c r="F205" s="798">
        <f t="shared" si="68"/>
        <v>15</v>
      </c>
      <c r="G205" s="795">
        <v>1.5</v>
      </c>
      <c r="H205" s="798">
        <f t="shared" si="69"/>
        <v>15</v>
      </c>
      <c r="I205" s="798"/>
      <c r="J205" s="798">
        <f t="shared" si="70"/>
        <v>0</v>
      </c>
      <c r="K205" s="798">
        <v>1</v>
      </c>
      <c r="L205" s="798">
        <f t="shared" si="71"/>
        <v>10</v>
      </c>
      <c r="M205" s="795">
        <v>1.3</v>
      </c>
      <c r="N205" s="798">
        <f t="shared" si="72"/>
        <v>13</v>
      </c>
      <c r="O205" s="798">
        <v>10</v>
      </c>
      <c r="P205" s="798">
        <f t="shared" si="73"/>
        <v>100</v>
      </c>
      <c r="Q205" s="798">
        <v>10</v>
      </c>
      <c r="R205" s="798">
        <f t="shared" si="74"/>
        <v>100</v>
      </c>
    </row>
    <row r="206" spans="1:18" ht="12" hidden="1" customHeight="1">
      <c r="A206" s="799">
        <v>2</v>
      </c>
      <c r="B206" s="800">
        <v>10</v>
      </c>
      <c r="C206" s="801">
        <v>0.5</v>
      </c>
      <c r="D206" s="802">
        <f t="shared" si="67"/>
        <v>5</v>
      </c>
      <c r="E206" s="803">
        <v>2</v>
      </c>
      <c r="F206" s="804">
        <f t="shared" si="68"/>
        <v>20</v>
      </c>
      <c r="G206" s="801">
        <v>2</v>
      </c>
      <c r="H206" s="804">
        <f t="shared" si="69"/>
        <v>20</v>
      </c>
      <c r="I206" s="804"/>
      <c r="J206" s="804">
        <f t="shared" si="70"/>
        <v>0</v>
      </c>
      <c r="K206" s="804">
        <v>1</v>
      </c>
      <c r="L206" s="804">
        <f t="shared" si="71"/>
        <v>10</v>
      </c>
      <c r="M206" s="801">
        <v>1.5</v>
      </c>
      <c r="N206" s="804">
        <f t="shared" si="72"/>
        <v>15</v>
      </c>
      <c r="O206" s="804">
        <v>10</v>
      </c>
      <c r="P206" s="804">
        <f t="shared" si="73"/>
        <v>100</v>
      </c>
      <c r="Q206" s="804">
        <v>10</v>
      </c>
      <c r="R206" s="804">
        <f t="shared" si="74"/>
        <v>100</v>
      </c>
    </row>
    <row r="207" spans="1:18" ht="12.75" hidden="1" customHeight="1" thickBot="1">
      <c r="A207" s="805">
        <v>3</v>
      </c>
      <c r="B207" s="806">
        <v>10</v>
      </c>
      <c r="C207" s="807"/>
      <c r="D207" s="808">
        <f t="shared" si="67"/>
        <v>0</v>
      </c>
      <c r="E207" s="809">
        <v>2.5</v>
      </c>
      <c r="F207" s="810">
        <f t="shared" si="68"/>
        <v>25</v>
      </c>
      <c r="G207" s="807">
        <v>2.5</v>
      </c>
      <c r="H207" s="810">
        <f t="shared" si="69"/>
        <v>25</v>
      </c>
      <c r="I207" s="810"/>
      <c r="J207" s="810">
        <f t="shared" si="70"/>
        <v>0</v>
      </c>
      <c r="K207" s="810">
        <v>1</v>
      </c>
      <c r="L207" s="810">
        <f t="shared" si="71"/>
        <v>10</v>
      </c>
      <c r="M207" s="807">
        <v>1.6</v>
      </c>
      <c r="N207" s="810">
        <f t="shared" si="72"/>
        <v>16</v>
      </c>
      <c r="O207" s="810">
        <v>10</v>
      </c>
      <c r="P207" s="810">
        <f t="shared" si="73"/>
        <v>100</v>
      </c>
      <c r="Q207" s="810">
        <v>10</v>
      </c>
      <c r="R207" s="810">
        <f t="shared" si="74"/>
        <v>100</v>
      </c>
    </row>
    <row r="208" spans="1:18" ht="12" hidden="1" customHeight="1">
      <c r="A208" s="793">
        <v>1</v>
      </c>
      <c r="B208" s="794">
        <v>10</v>
      </c>
      <c r="C208" s="795"/>
      <c r="D208" s="796">
        <f t="shared" si="67"/>
        <v>0</v>
      </c>
      <c r="E208" s="797"/>
      <c r="F208" s="798">
        <f t="shared" si="68"/>
        <v>0</v>
      </c>
      <c r="G208" s="795"/>
      <c r="H208" s="798">
        <f t="shared" si="69"/>
        <v>0</v>
      </c>
      <c r="I208" s="798">
        <v>6</v>
      </c>
      <c r="J208" s="798">
        <f t="shared" si="70"/>
        <v>60</v>
      </c>
      <c r="K208" s="798">
        <v>1</v>
      </c>
      <c r="L208" s="798">
        <f t="shared" si="71"/>
        <v>10</v>
      </c>
      <c r="M208" s="795">
        <v>1.6</v>
      </c>
      <c r="N208" s="798">
        <f t="shared" si="72"/>
        <v>16</v>
      </c>
      <c r="O208" s="798">
        <v>15</v>
      </c>
      <c r="P208" s="798">
        <f t="shared" si="73"/>
        <v>150</v>
      </c>
      <c r="Q208" s="798">
        <v>15</v>
      </c>
      <c r="R208" s="798">
        <f t="shared" si="74"/>
        <v>150</v>
      </c>
    </row>
    <row r="209" spans="1:19" ht="12" hidden="1" customHeight="1">
      <c r="A209" s="799">
        <v>2</v>
      </c>
      <c r="B209" s="800">
        <v>10</v>
      </c>
      <c r="C209" s="801"/>
      <c r="D209" s="802">
        <f t="shared" si="67"/>
        <v>0</v>
      </c>
      <c r="E209" s="803"/>
      <c r="F209" s="804">
        <f t="shared" si="68"/>
        <v>0</v>
      </c>
      <c r="G209" s="801"/>
      <c r="H209" s="804">
        <f t="shared" si="69"/>
        <v>0</v>
      </c>
      <c r="I209" s="804">
        <v>8</v>
      </c>
      <c r="J209" s="804">
        <f t="shared" si="70"/>
        <v>80</v>
      </c>
      <c r="K209" s="804">
        <v>1</v>
      </c>
      <c r="L209" s="804">
        <f t="shared" si="71"/>
        <v>10</v>
      </c>
      <c r="M209" s="801">
        <v>1.6</v>
      </c>
      <c r="N209" s="804">
        <f t="shared" si="72"/>
        <v>16</v>
      </c>
      <c r="O209" s="804">
        <v>15</v>
      </c>
      <c r="P209" s="804">
        <f t="shared" si="73"/>
        <v>150</v>
      </c>
      <c r="Q209" s="804">
        <v>15</v>
      </c>
      <c r="R209" s="804">
        <f t="shared" si="74"/>
        <v>150</v>
      </c>
    </row>
    <row r="210" spans="1:19" ht="12.75" hidden="1" customHeight="1" thickBot="1">
      <c r="A210" s="805">
        <v>3</v>
      </c>
      <c r="B210" s="806">
        <v>10</v>
      </c>
      <c r="C210" s="807"/>
      <c r="D210" s="808">
        <f t="shared" si="67"/>
        <v>0</v>
      </c>
      <c r="E210" s="809"/>
      <c r="F210" s="810">
        <f t="shared" si="68"/>
        <v>0</v>
      </c>
      <c r="G210" s="807"/>
      <c r="H210" s="810">
        <f t="shared" si="69"/>
        <v>0</v>
      </c>
      <c r="I210" s="810">
        <v>10</v>
      </c>
      <c r="J210" s="810">
        <f t="shared" si="70"/>
        <v>100</v>
      </c>
      <c r="K210" s="810">
        <v>1</v>
      </c>
      <c r="L210" s="810">
        <f t="shared" si="71"/>
        <v>10</v>
      </c>
      <c r="M210" s="807">
        <v>1.6</v>
      </c>
      <c r="N210" s="810">
        <f t="shared" si="72"/>
        <v>16</v>
      </c>
      <c r="O210" s="810">
        <v>15</v>
      </c>
      <c r="P210" s="810">
        <f t="shared" si="73"/>
        <v>150</v>
      </c>
      <c r="Q210" s="810">
        <v>15</v>
      </c>
      <c r="R210" s="810">
        <f t="shared" si="74"/>
        <v>150</v>
      </c>
    </row>
    <row r="211" spans="1:19" ht="12" hidden="1" customHeight="1">
      <c r="A211" s="793">
        <v>1</v>
      </c>
      <c r="B211" s="794">
        <v>10</v>
      </c>
      <c r="C211" s="795"/>
      <c r="D211" s="796">
        <f t="shared" si="67"/>
        <v>0</v>
      </c>
      <c r="E211" s="797"/>
      <c r="F211" s="798">
        <f t="shared" si="68"/>
        <v>0</v>
      </c>
      <c r="G211" s="795"/>
      <c r="H211" s="798">
        <f t="shared" si="69"/>
        <v>0</v>
      </c>
      <c r="I211" s="798">
        <v>10</v>
      </c>
      <c r="J211" s="798">
        <f t="shared" si="70"/>
        <v>100</v>
      </c>
      <c r="K211" s="798">
        <v>1</v>
      </c>
      <c r="L211" s="798">
        <f t="shared" si="71"/>
        <v>10</v>
      </c>
      <c r="M211" s="795">
        <v>1.5</v>
      </c>
      <c r="N211" s="798">
        <f t="shared" si="72"/>
        <v>15</v>
      </c>
      <c r="O211" s="798">
        <v>15</v>
      </c>
      <c r="P211" s="798">
        <f t="shared" si="73"/>
        <v>150</v>
      </c>
      <c r="Q211" s="798">
        <v>15</v>
      </c>
      <c r="R211" s="798">
        <f t="shared" si="74"/>
        <v>150</v>
      </c>
    </row>
    <row r="212" spans="1:19" ht="12" hidden="1" customHeight="1">
      <c r="A212" s="799">
        <v>2</v>
      </c>
      <c r="B212" s="800">
        <v>10</v>
      </c>
      <c r="C212" s="801"/>
      <c r="D212" s="802">
        <f t="shared" si="67"/>
        <v>0</v>
      </c>
      <c r="E212" s="803"/>
      <c r="F212" s="804">
        <f t="shared" si="68"/>
        <v>0</v>
      </c>
      <c r="G212" s="801"/>
      <c r="H212" s="804">
        <f t="shared" si="69"/>
        <v>0</v>
      </c>
      <c r="I212" s="804">
        <v>12</v>
      </c>
      <c r="J212" s="804">
        <f t="shared" si="70"/>
        <v>120</v>
      </c>
      <c r="K212" s="804">
        <v>1</v>
      </c>
      <c r="L212" s="804">
        <f t="shared" si="71"/>
        <v>10</v>
      </c>
      <c r="M212" s="801">
        <v>1</v>
      </c>
      <c r="N212" s="804">
        <f t="shared" si="72"/>
        <v>10</v>
      </c>
      <c r="O212" s="804">
        <v>15</v>
      </c>
      <c r="P212" s="804">
        <f t="shared" si="73"/>
        <v>150</v>
      </c>
      <c r="Q212" s="804">
        <v>15</v>
      </c>
      <c r="R212" s="804">
        <f t="shared" si="74"/>
        <v>150</v>
      </c>
    </row>
    <row r="213" spans="1:19" ht="12.75" hidden="1" customHeight="1" thickBot="1">
      <c r="A213" s="805">
        <v>3</v>
      </c>
      <c r="B213" s="806">
        <v>10</v>
      </c>
      <c r="C213" s="807"/>
      <c r="D213" s="808">
        <f t="shared" si="67"/>
        <v>0</v>
      </c>
      <c r="E213" s="809"/>
      <c r="F213" s="810">
        <f t="shared" si="68"/>
        <v>0</v>
      </c>
      <c r="G213" s="807"/>
      <c r="H213" s="810">
        <f t="shared" si="69"/>
        <v>0</v>
      </c>
      <c r="I213" s="810">
        <v>14</v>
      </c>
      <c r="J213" s="810">
        <f t="shared" si="70"/>
        <v>140</v>
      </c>
      <c r="K213" s="810">
        <v>1</v>
      </c>
      <c r="L213" s="810">
        <f t="shared" si="71"/>
        <v>10</v>
      </c>
      <c r="M213" s="807">
        <v>1</v>
      </c>
      <c r="N213" s="810">
        <f t="shared" si="72"/>
        <v>10</v>
      </c>
      <c r="O213" s="810">
        <v>15</v>
      </c>
      <c r="P213" s="810">
        <f t="shared" si="73"/>
        <v>150</v>
      </c>
      <c r="Q213" s="810">
        <v>15</v>
      </c>
      <c r="R213" s="810">
        <f t="shared" si="74"/>
        <v>150</v>
      </c>
    </row>
    <row r="214" spans="1:19" ht="12" hidden="1" customHeight="1">
      <c r="A214" s="793">
        <v>1</v>
      </c>
      <c r="B214" s="794">
        <v>10</v>
      </c>
      <c r="C214" s="795"/>
      <c r="D214" s="796">
        <f t="shared" si="67"/>
        <v>0</v>
      </c>
      <c r="E214" s="797"/>
      <c r="F214" s="798">
        <f t="shared" si="68"/>
        <v>0</v>
      </c>
      <c r="G214" s="795"/>
      <c r="H214" s="798">
        <f t="shared" si="69"/>
        <v>0</v>
      </c>
      <c r="I214" s="798">
        <v>14</v>
      </c>
      <c r="J214" s="798">
        <f t="shared" si="70"/>
        <v>140</v>
      </c>
      <c r="K214" s="798">
        <v>1</v>
      </c>
      <c r="L214" s="798">
        <f t="shared" si="71"/>
        <v>10</v>
      </c>
      <c r="M214" s="795">
        <v>0.8</v>
      </c>
      <c r="N214" s="798">
        <f t="shared" si="72"/>
        <v>8</v>
      </c>
      <c r="O214" s="798">
        <v>20</v>
      </c>
      <c r="P214" s="798">
        <f t="shared" si="73"/>
        <v>200</v>
      </c>
      <c r="Q214" s="798">
        <v>20</v>
      </c>
      <c r="R214" s="798">
        <f t="shared" si="74"/>
        <v>200</v>
      </c>
    </row>
    <row r="215" spans="1:19" ht="12" hidden="1" customHeight="1">
      <c r="A215" s="799">
        <v>2</v>
      </c>
      <c r="B215" s="800">
        <v>10</v>
      </c>
      <c r="C215" s="801"/>
      <c r="D215" s="802">
        <f t="shared" si="67"/>
        <v>0</v>
      </c>
      <c r="E215" s="803"/>
      <c r="F215" s="804">
        <f t="shared" si="68"/>
        <v>0</v>
      </c>
      <c r="G215" s="801"/>
      <c r="H215" s="804">
        <f t="shared" si="69"/>
        <v>0</v>
      </c>
      <c r="I215" s="804">
        <v>16</v>
      </c>
      <c r="J215" s="804">
        <f t="shared" si="70"/>
        <v>160</v>
      </c>
      <c r="K215" s="804">
        <v>1</v>
      </c>
      <c r="L215" s="804">
        <f t="shared" si="71"/>
        <v>10</v>
      </c>
      <c r="M215" s="801">
        <v>0.7</v>
      </c>
      <c r="N215" s="804">
        <f t="shared" si="72"/>
        <v>7</v>
      </c>
      <c r="O215" s="804">
        <v>20</v>
      </c>
      <c r="P215" s="804">
        <f t="shared" si="73"/>
        <v>200</v>
      </c>
      <c r="Q215" s="804">
        <v>20</v>
      </c>
      <c r="R215" s="804">
        <f t="shared" si="74"/>
        <v>200</v>
      </c>
    </row>
    <row r="216" spans="1:19" ht="12.75" hidden="1" customHeight="1" thickBot="1">
      <c r="A216" s="805">
        <v>3</v>
      </c>
      <c r="B216" s="806">
        <v>10</v>
      </c>
      <c r="C216" s="807"/>
      <c r="D216" s="808">
        <f t="shared" si="67"/>
        <v>0</v>
      </c>
      <c r="E216" s="809"/>
      <c r="F216" s="810">
        <f t="shared" si="68"/>
        <v>0</v>
      </c>
      <c r="G216" s="807"/>
      <c r="H216" s="810">
        <f t="shared" si="69"/>
        <v>0</v>
      </c>
      <c r="I216" s="810">
        <v>18</v>
      </c>
      <c r="J216" s="810">
        <f t="shared" si="70"/>
        <v>180</v>
      </c>
      <c r="K216" s="810">
        <v>1</v>
      </c>
      <c r="L216" s="810">
        <f t="shared" si="71"/>
        <v>10</v>
      </c>
      <c r="M216" s="807">
        <v>0.7</v>
      </c>
      <c r="N216" s="810">
        <f t="shared" si="72"/>
        <v>7</v>
      </c>
      <c r="O216" s="810">
        <v>20</v>
      </c>
      <c r="P216" s="810">
        <f t="shared" si="73"/>
        <v>200</v>
      </c>
      <c r="Q216" s="810">
        <v>20</v>
      </c>
      <c r="R216" s="810">
        <f t="shared" si="74"/>
        <v>200</v>
      </c>
    </row>
    <row r="217" spans="1:19" ht="12" hidden="1" customHeight="1">
      <c r="A217" s="787"/>
      <c r="B217" s="811">
        <f>SUM(B199:B216)</f>
        <v>180</v>
      </c>
      <c r="C217" s="812"/>
      <c r="D217" s="813">
        <f>SUM(D199:D216)</f>
        <v>260</v>
      </c>
      <c r="E217" s="813"/>
      <c r="F217" s="811">
        <f t="shared" ref="F217:P217" si="75">SUM(F199:F216)</f>
        <v>86</v>
      </c>
      <c r="G217" s="811"/>
      <c r="H217" s="811">
        <f t="shared" si="75"/>
        <v>86</v>
      </c>
      <c r="I217" s="811"/>
      <c r="J217" s="811">
        <f t="shared" si="75"/>
        <v>1080</v>
      </c>
      <c r="K217" s="811"/>
      <c r="L217" s="811">
        <f t="shared" si="75"/>
        <v>130</v>
      </c>
      <c r="M217" s="811"/>
      <c r="N217" s="811">
        <f t="shared" si="75"/>
        <v>171</v>
      </c>
      <c r="O217" s="811"/>
      <c r="P217" s="811">
        <f t="shared" si="75"/>
        <v>2150</v>
      </c>
      <c r="Q217" s="811"/>
      <c r="R217" s="811">
        <f>SUM(R199:R216)</f>
        <v>2150</v>
      </c>
    </row>
    <row r="218" spans="1:19" ht="12" hidden="1" customHeight="1">
      <c r="C218" s="786">
        <f>SUMIF(C199:C216,"&gt;0",$B199:$B216)</f>
        <v>80</v>
      </c>
      <c r="D218" s="786"/>
      <c r="E218" s="786">
        <f>SUMIF(E199:E216,"&gt;0",$B199:$B216)</f>
        <v>70</v>
      </c>
      <c r="G218" s="786">
        <f>SUMIF(G199:G216,"&gt;0",$B199:$B216)</f>
        <v>70</v>
      </c>
      <c r="I218" s="786">
        <f>SUMIF(I199:I216,"&gt;0",$B199:$B216)</f>
        <v>90</v>
      </c>
      <c r="K218" s="786">
        <f>SUMIF(K199:K216,"&gt;0",$B199:$B216)</f>
        <v>150</v>
      </c>
      <c r="M218" s="786">
        <f>SUMIF(M199:M216,"&gt;0",$B199:$B216)</f>
        <v>150</v>
      </c>
      <c r="O218" s="786">
        <f>SUMIF(O199:O216,"&gt;0",$B199:$B216)</f>
        <v>160</v>
      </c>
      <c r="Q218" s="786">
        <f>SUMIF(Q199:Q216,"&gt;0",$B199:$B216)</f>
        <v>160</v>
      </c>
      <c r="R218" s="786"/>
    </row>
    <row r="219" spans="1:19" ht="12" hidden="1" customHeight="1"/>
    <row r="223" spans="1:19">
      <c r="Q223" s="814"/>
      <c r="R223" s="815"/>
      <c r="S223" s="816"/>
    </row>
    <row r="224" spans="1:19">
      <c r="S224" s="816"/>
    </row>
  </sheetData>
  <sheetProtection selectLockedCells="1" selectUnlockedCells="1"/>
  <mergeCells count="9">
    <mergeCell ref="M198:N198"/>
    <mergeCell ref="O198:P198"/>
    <mergeCell ref="Q198:R198"/>
    <mergeCell ref="B3:E3"/>
    <mergeCell ref="C198:D198"/>
    <mergeCell ref="E198:F198"/>
    <mergeCell ref="G198:H198"/>
    <mergeCell ref="I198:J198"/>
    <mergeCell ref="K198:L198"/>
  </mergeCells>
  <conditionalFormatting sqref="R11 R25 R39 R53 R67 R81 R95 R109 R123 R137 R151 R165 R179">
    <cfRule type="cellIs" dxfId="2" priority="1" stopIfTrue="1" operator="equal">
      <formula>0</formula>
    </cfRule>
  </conditionalFormatting>
  <pageMargins left="0.7" right="0.7" top="0.75" bottom="0.75" header="0.51180555555555551" footer="0.51180555555555551"/>
  <pageSetup paperSize="9" scale="59" firstPageNumber="0" fitToHeight="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224"/>
  <sheetViews>
    <sheetView topLeftCell="A169" zoomScaleSheetLayoutView="100" workbookViewId="0">
      <selection activeCell="L25" sqref="L25"/>
    </sheetView>
  </sheetViews>
  <sheetFormatPr defaultColWidth="9.140625" defaultRowHeight="12" outlineLevelRow="1"/>
  <cols>
    <col min="1" max="1" width="34.5703125" style="785" customWidth="1"/>
    <col min="2" max="2" width="6.5703125" style="786" customWidth="1"/>
    <col min="3" max="3" width="7.5703125" style="786" customWidth="1"/>
    <col min="4" max="4" width="10" style="787" bestFit="1" customWidth="1"/>
    <col min="5" max="5" width="11" style="788" customWidth="1"/>
    <col min="6" max="17" width="6" style="786" customWidth="1"/>
    <col min="18" max="18" width="6.7109375" style="789" customWidth="1"/>
    <col min="19" max="16384" width="9.140625" style="727"/>
  </cols>
  <sheetData>
    <row r="1" spans="1:18" s="636" customFormat="1">
      <c r="A1" s="633"/>
      <c r="B1" s="634"/>
      <c r="C1" s="634"/>
      <c r="D1" s="634"/>
      <c r="E1" s="634"/>
      <c r="F1" s="634"/>
      <c r="G1" s="634"/>
      <c r="H1" s="634"/>
      <c r="I1" s="634"/>
      <c r="J1" s="634"/>
      <c r="K1" s="634"/>
      <c r="L1" s="634"/>
      <c r="M1" s="634"/>
      <c r="N1" s="634"/>
      <c r="O1" s="634"/>
      <c r="P1" s="634"/>
      <c r="Q1" s="634"/>
      <c r="R1" s="635"/>
    </row>
    <row r="2" spans="1:18" s="636" customFormat="1" ht="12.75" thickBot="1">
      <c r="A2" s="633"/>
      <c r="B2" s="634"/>
      <c r="C2" s="634"/>
      <c r="D2" s="634"/>
      <c r="E2" s="634"/>
      <c r="F2" s="634"/>
      <c r="G2" s="634"/>
      <c r="H2" s="634"/>
      <c r="I2" s="634"/>
      <c r="J2" s="634"/>
      <c r="K2" s="634"/>
      <c r="L2" s="634"/>
      <c r="M2" s="634"/>
      <c r="N2" s="634"/>
      <c r="O2" s="634"/>
      <c r="P2" s="634"/>
      <c r="Q2" s="634"/>
      <c r="R2" s="634"/>
    </row>
    <row r="3" spans="1:18" s="641" customFormat="1" ht="11.25" customHeight="1">
      <c r="A3" s="637" t="s">
        <v>224</v>
      </c>
      <c r="B3" s="2311" t="s">
        <v>225</v>
      </c>
      <c r="C3" s="2311"/>
      <c r="D3" s="2311"/>
      <c r="E3" s="2311"/>
      <c r="F3" s="638" t="s">
        <v>226</v>
      </c>
      <c r="G3" s="639" t="s">
        <v>227</v>
      </c>
      <c r="H3" s="639" t="s">
        <v>228</v>
      </c>
      <c r="I3" s="639" t="s">
        <v>229</v>
      </c>
      <c r="J3" s="639" t="s">
        <v>230</v>
      </c>
      <c r="K3" s="639" t="s">
        <v>231</v>
      </c>
      <c r="L3" s="639" t="s">
        <v>232</v>
      </c>
      <c r="M3" s="639" t="s">
        <v>233</v>
      </c>
      <c r="N3" s="639" t="s">
        <v>234</v>
      </c>
      <c r="O3" s="639" t="s">
        <v>235</v>
      </c>
      <c r="P3" s="639" t="s">
        <v>236</v>
      </c>
      <c r="Q3" s="639" t="s">
        <v>237</v>
      </c>
      <c r="R3" s="640" t="s">
        <v>238</v>
      </c>
    </row>
    <row r="4" spans="1:18" s="649" customFormat="1" ht="60.75" customHeight="1" thickBot="1">
      <c r="A4" s="642" t="s">
        <v>239</v>
      </c>
      <c r="B4" s="643" t="s">
        <v>240</v>
      </c>
      <c r="C4" s="643" t="s">
        <v>241</v>
      </c>
      <c r="D4" s="644" t="s">
        <v>242</v>
      </c>
      <c r="E4" s="645" t="s">
        <v>243</v>
      </c>
      <c r="F4" s="646">
        <v>31</v>
      </c>
      <c r="G4" s="647">
        <v>29</v>
      </c>
      <c r="H4" s="647">
        <v>31</v>
      </c>
      <c r="I4" s="647">
        <v>30</v>
      </c>
      <c r="J4" s="647">
        <v>31</v>
      </c>
      <c r="K4" s="647">
        <v>30</v>
      </c>
      <c r="L4" s="647">
        <v>31</v>
      </c>
      <c r="M4" s="647">
        <v>31</v>
      </c>
      <c r="N4" s="647">
        <v>30</v>
      </c>
      <c r="O4" s="647">
        <v>31</v>
      </c>
      <c r="P4" s="647">
        <v>30</v>
      </c>
      <c r="Q4" s="647">
        <v>31</v>
      </c>
      <c r="R4" s="648">
        <f>SUM(F4:Q4)</f>
        <v>366</v>
      </c>
    </row>
    <row r="5" spans="1:18" s="641" customFormat="1" ht="12.75" thickBot="1">
      <c r="A5" s="650" t="s">
        <v>244</v>
      </c>
      <c r="B5" s="651"/>
      <c r="C5" s="651"/>
      <c r="D5" s="652"/>
      <c r="E5" s="652"/>
      <c r="F5" s="651"/>
      <c r="G5" s="651"/>
      <c r="H5" s="651"/>
      <c r="I5" s="651"/>
      <c r="J5" s="651"/>
      <c r="K5" s="651"/>
      <c r="L5" s="651"/>
      <c r="M5" s="651"/>
      <c r="N5" s="651"/>
      <c r="O5" s="651"/>
      <c r="P5" s="651"/>
      <c r="Q5" s="651"/>
      <c r="R5" s="653"/>
    </row>
    <row r="6" spans="1:18" s="641" customFormat="1" ht="12.75" outlineLevel="1" thickBot="1">
      <c r="A6" s="654" t="s">
        <v>245</v>
      </c>
      <c r="B6" s="655"/>
      <c r="C6" s="655"/>
      <c r="D6" s="656"/>
      <c r="E6" s="657"/>
      <c r="F6" s="655"/>
      <c r="G6" s="655"/>
      <c r="H6" s="655"/>
      <c r="I6" s="655"/>
      <c r="J6" s="655"/>
      <c r="K6" s="655"/>
      <c r="L6" s="655"/>
      <c r="M6" s="655"/>
      <c r="N6" s="655"/>
      <c r="O6" s="655"/>
      <c r="P6" s="655"/>
      <c r="Q6" s="655"/>
      <c r="R6" s="658"/>
    </row>
    <row r="7" spans="1:18" s="666" customFormat="1" outlineLevel="1">
      <c r="A7" s="659" t="s">
        <v>246</v>
      </c>
      <c r="B7" s="660" t="e">
        <f>'КРМД-25'!R7</f>
        <v>#REF!</v>
      </c>
      <c r="C7" s="660"/>
      <c r="D7" s="661" t="e">
        <f>+B7*0.46</f>
        <v>#REF!</v>
      </c>
      <c r="E7" s="662" t="e">
        <f>B7*66</f>
        <v>#REF!</v>
      </c>
      <c r="F7" s="663" t="e">
        <f>B7</f>
        <v>#REF!</v>
      </c>
      <c r="G7" s="664" t="e">
        <f t="shared" ref="G7:Q7" si="0">(F7+F8+F9+F10-F12-F13-F14-F15-F16)</f>
        <v>#REF!</v>
      </c>
      <c r="H7" s="664" t="e">
        <f t="shared" si="0"/>
        <v>#REF!</v>
      </c>
      <c r="I7" s="664" t="e">
        <f t="shared" si="0"/>
        <v>#REF!</v>
      </c>
      <c r="J7" s="664" t="e">
        <f t="shared" si="0"/>
        <v>#REF!</v>
      </c>
      <c r="K7" s="664" t="e">
        <f t="shared" si="0"/>
        <v>#REF!</v>
      </c>
      <c r="L7" s="664" t="e">
        <f t="shared" si="0"/>
        <v>#REF!</v>
      </c>
      <c r="M7" s="664" t="e">
        <f t="shared" si="0"/>
        <v>#REF!</v>
      </c>
      <c r="N7" s="664" t="e">
        <f t="shared" si="0"/>
        <v>#REF!</v>
      </c>
      <c r="O7" s="664" t="e">
        <f t="shared" si="0"/>
        <v>#REF!</v>
      </c>
      <c r="P7" s="664" t="e">
        <f t="shared" si="0"/>
        <v>#REF!</v>
      </c>
      <c r="Q7" s="664" t="e">
        <f t="shared" si="0"/>
        <v>#REF!</v>
      </c>
      <c r="R7" s="665" t="e">
        <f>(Q7+Q8+Q9+Q10-Q12-Q13-Q14-Q15-Q16)</f>
        <v>#REF!</v>
      </c>
    </row>
    <row r="8" spans="1:18" s="666" customFormat="1" outlineLevel="1">
      <c r="A8" s="667" t="s">
        <v>247</v>
      </c>
      <c r="B8" s="668"/>
      <c r="C8" s="669"/>
      <c r="D8" s="670"/>
      <c r="E8" s="671"/>
      <c r="F8" s="672"/>
      <c r="G8" s="673"/>
      <c r="H8" s="673"/>
      <c r="I8" s="673"/>
      <c r="J8" s="673"/>
      <c r="K8" s="673"/>
      <c r="L8" s="673"/>
      <c r="M8" s="673"/>
      <c r="N8" s="673"/>
      <c r="O8" s="673"/>
      <c r="P8" s="673"/>
      <c r="Q8" s="673"/>
      <c r="R8" s="674">
        <f t="shared" ref="R8:R17" si="1">SUM(F8:Q8)</f>
        <v>0</v>
      </c>
    </row>
    <row r="9" spans="1:18" s="666" customFormat="1" outlineLevel="1">
      <c r="A9" s="667" t="s">
        <v>248</v>
      </c>
      <c r="B9" s="675"/>
      <c r="C9" s="676"/>
      <c r="D9" s="676"/>
      <c r="E9" s="677"/>
      <c r="F9" s="672"/>
      <c r="G9" s="673"/>
      <c r="H9" s="673"/>
      <c r="I9" s="673"/>
      <c r="J9" s="673"/>
      <c r="K9" s="673"/>
      <c r="L9" s="673"/>
      <c r="M9" s="673"/>
      <c r="N9" s="673"/>
      <c r="O9" s="673"/>
      <c r="P9" s="673"/>
      <c r="Q9" s="673"/>
      <c r="R9" s="674">
        <f t="shared" si="1"/>
        <v>0</v>
      </c>
    </row>
    <row r="10" spans="1:18" s="666" customFormat="1" ht="12.75" outlineLevel="1" thickBot="1">
      <c r="A10" s="678" t="s">
        <v>249</v>
      </c>
      <c r="B10" s="675"/>
      <c r="C10" s="676"/>
      <c r="D10" s="676"/>
      <c r="E10" s="677"/>
      <c r="F10" s="679"/>
      <c r="G10" s="680"/>
      <c r="H10" s="680"/>
      <c r="I10" s="680"/>
      <c r="J10" s="680"/>
      <c r="K10" s="680"/>
      <c r="L10" s="680"/>
      <c r="M10" s="680"/>
      <c r="N10" s="680"/>
      <c r="O10" s="680"/>
      <c r="P10" s="680"/>
      <c r="Q10" s="680"/>
      <c r="R10" s="681">
        <f t="shared" si="1"/>
        <v>0</v>
      </c>
    </row>
    <row r="11" spans="1:18" s="641" customFormat="1" ht="12.75" outlineLevel="1" thickBot="1">
      <c r="A11" s="682" t="s">
        <v>250</v>
      </c>
      <c r="B11" s="675"/>
      <c r="C11" s="676"/>
      <c r="D11" s="676"/>
      <c r="E11" s="677"/>
      <c r="F11" s="683"/>
      <c r="G11" s="655"/>
      <c r="H11" s="655"/>
      <c r="I11" s="655"/>
      <c r="J11" s="655"/>
      <c r="K11" s="655"/>
      <c r="L11" s="655"/>
      <c r="M11" s="655"/>
      <c r="N11" s="655"/>
      <c r="O11" s="655"/>
      <c r="P11" s="655"/>
      <c r="Q11" s="655"/>
      <c r="R11" s="684">
        <f t="shared" si="1"/>
        <v>0</v>
      </c>
    </row>
    <row r="12" spans="1:18" s="666" customFormat="1" outlineLevel="1">
      <c r="A12" s="685" t="s">
        <v>251</v>
      </c>
      <c r="B12" s="675"/>
      <c r="C12" s="676"/>
      <c r="D12" s="676"/>
      <c r="E12" s="677"/>
      <c r="F12" s="686"/>
      <c r="G12" s="687"/>
      <c r="H12" s="687"/>
      <c r="I12" s="687"/>
      <c r="J12" s="687"/>
      <c r="K12" s="687"/>
      <c r="L12" s="687"/>
      <c r="M12" s="687"/>
      <c r="N12" s="687"/>
      <c r="O12" s="687"/>
      <c r="P12" s="687"/>
      <c r="Q12" s="688"/>
      <c r="R12" s="689">
        <f t="shared" si="1"/>
        <v>0</v>
      </c>
    </row>
    <row r="13" spans="1:18" s="666" customFormat="1" ht="24" outlineLevel="1">
      <c r="A13" s="690" t="s">
        <v>252</v>
      </c>
      <c r="B13" s="675"/>
      <c r="C13" s="676"/>
      <c r="D13" s="676"/>
      <c r="E13" s="677"/>
      <c r="F13" s="691"/>
      <c r="G13" s="691"/>
      <c r="H13" s="691"/>
      <c r="I13" s="691"/>
      <c r="J13" s="691"/>
      <c r="K13" s="691"/>
      <c r="L13" s="691"/>
      <c r="M13" s="691"/>
      <c r="N13" s="691"/>
      <c r="O13" s="691"/>
      <c r="P13" s="691"/>
      <c r="Q13" s="691"/>
      <c r="R13" s="692">
        <f t="shared" si="1"/>
        <v>0</v>
      </c>
    </row>
    <row r="14" spans="1:18" s="666" customFormat="1" outlineLevel="1">
      <c r="A14" s="690" t="s">
        <v>253</v>
      </c>
      <c r="B14" s="675"/>
      <c r="C14" s="676"/>
      <c r="D14" s="676"/>
      <c r="E14" s="677"/>
      <c r="F14" s="691"/>
      <c r="G14" s="691"/>
      <c r="H14" s="691"/>
      <c r="I14" s="691"/>
      <c r="J14" s="691"/>
      <c r="K14" s="691"/>
      <c r="L14" s="691"/>
      <c r="M14" s="691"/>
      <c r="N14" s="691"/>
      <c r="O14" s="691"/>
      <c r="P14" s="691"/>
      <c r="Q14" s="691"/>
      <c r="R14" s="692">
        <f t="shared" si="1"/>
        <v>0</v>
      </c>
    </row>
    <row r="15" spans="1:18" s="666" customFormat="1" outlineLevel="1">
      <c r="A15" s="690" t="s">
        <v>254</v>
      </c>
      <c r="B15" s="675"/>
      <c r="C15" s="676"/>
      <c r="D15" s="676"/>
      <c r="E15" s="677"/>
      <c r="F15" s="691"/>
      <c r="G15" s="691"/>
      <c r="H15" s="691"/>
      <c r="I15" s="691"/>
      <c r="J15" s="691"/>
      <c r="K15" s="691"/>
      <c r="L15" s="691"/>
      <c r="M15" s="691"/>
      <c r="N15" s="691"/>
      <c r="O15" s="691"/>
      <c r="P15" s="691"/>
      <c r="Q15" s="691"/>
      <c r="R15" s="692">
        <f t="shared" si="1"/>
        <v>0</v>
      </c>
    </row>
    <row r="16" spans="1:18" s="666" customFormat="1" outlineLevel="1">
      <c r="A16" s="690" t="s">
        <v>255</v>
      </c>
      <c r="B16" s="675"/>
      <c r="C16" s="676"/>
      <c r="D16" s="676"/>
      <c r="E16" s="677"/>
      <c r="F16" s="672"/>
      <c r="G16" s="673"/>
      <c r="H16" s="673"/>
      <c r="I16" s="673"/>
      <c r="J16" s="673"/>
      <c r="K16" s="673"/>
      <c r="L16" s="673"/>
      <c r="M16" s="673"/>
      <c r="N16" s="673"/>
      <c r="O16" s="673"/>
      <c r="P16" s="673"/>
      <c r="Q16" s="673"/>
      <c r="R16" s="692">
        <f t="shared" si="1"/>
        <v>0</v>
      </c>
    </row>
    <row r="17" spans="1:18" s="666" customFormat="1" outlineLevel="1">
      <c r="A17" s="693" t="s">
        <v>256</v>
      </c>
      <c r="B17" s="694"/>
      <c r="C17" s="695"/>
      <c r="D17" s="696"/>
      <c r="E17" s="697"/>
      <c r="F17" s="698" t="e">
        <f t="shared" ref="F17:Q17" si="2">(F7+G7)/2*F$4</f>
        <v>#REF!</v>
      </c>
      <c r="G17" s="698" t="e">
        <f t="shared" si="2"/>
        <v>#REF!</v>
      </c>
      <c r="H17" s="698" t="e">
        <f t="shared" si="2"/>
        <v>#REF!</v>
      </c>
      <c r="I17" s="698" t="e">
        <f t="shared" si="2"/>
        <v>#REF!</v>
      </c>
      <c r="J17" s="698" t="e">
        <f t="shared" si="2"/>
        <v>#REF!</v>
      </c>
      <c r="K17" s="698" t="e">
        <f t="shared" si="2"/>
        <v>#REF!</v>
      </c>
      <c r="L17" s="698" t="e">
        <f t="shared" si="2"/>
        <v>#REF!</v>
      </c>
      <c r="M17" s="698" t="e">
        <f t="shared" si="2"/>
        <v>#REF!</v>
      </c>
      <c r="N17" s="698" t="e">
        <f t="shared" si="2"/>
        <v>#REF!</v>
      </c>
      <c r="O17" s="698" t="e">
        <f t="shared" si="2"/>
        <v>#REF!</v>
      </c>
      <c r="P17" s="698" t="e">
        <f t="shared" si="2"/>
        <v>#REF!</v>
      </c>
      <c r="Q17" s="698" t="e">
        <f t="shared" si="2"/>
        <v>#REF!</v>
      </c>
      <c r="R17" s="699" t="e">
        <f t="shared" si="1"/>
        <v>#REF!</v>
      </c>
    </row>
    <row r="18" spans="1:18" s="666" customFormat="1" ht="12.75" outlineLevel="1" thickBot="1">
      <c r="A18" s="700" t="s">
        <v>257</v>
      </c>
      <c r="B18" s="701"/>
      <c r="C18" s="701"/>
      <c r="D18" s="702"/>
      <c r="E18" s="703"/>
      <c r="F18" s="704" t="e">
        <f>F17/F$4</f>
        <v>#REF!</v>
      </c>
      <c r="G18" s="705" t="e">
        <f t="shared" ref="G18:Q18" si="3">G17/G$4</f>
        <v>#REF!</v>
      </c>
      <c r="H18" s="705" t="e">
        <f t="shared" si="3"/>
        <v>#REF!</v>
      </c>
      <c r="I18" s="705" t="e">
        <f t="shared" si="3"/>
        <v>#REF!</v>
      </c>
      <c r="J18" s="705" t="e">
        <f t="shared" si="3"/>
        <v>#REF!</v>
      </c>
      <c r="K18" s="705" t="e">
        <f t="shared" si="3"/>
        <v>#REF!</v>
      </c>
      <c r="L18" s="705" t="e">
        <f t="shared" si="3"/>
        <v>#REF!</v>
      </c>
      <c r="M18" s="705" t="e">
        <f t="shared" si="3"/>
        <v>#REF!</v>
      </c>
      <c r="N18" s="705" t="e">
        <f t="shared" si="3"/>
        <v>#REF!</v>
      </c>
      <c r="O18" s="705" t="e">
        <f t="shared" si="3"/>
        <v>#REF!</v>
      </c>
      <c r="P18" s="705" t="e">
        <f t="shared" si="3"/>
        <v>#REF!</v>
      </c>
      <c r="Q18" s="705" t="e">
        <f t="shared" si="3"/>
        <v>#REF!</v>
      </c>
      <c r="R18" s="706" t="e">
        <f>R17/R$4</f>
        <v>#REF!</v>
      </c>
    </row>
    <row r="19" spans="1:18" s="641" customFormat="1" ht="12.75" thickBot="1">
      <c r="A19" s="650" t="s">
        <v>258</v>
      </c>
      <c r="B19" s="651"/>
      <c r="C19" s="651"/>
      <c r="D19" s="652"/>
      <c r="E19" s="652"/>
      <c r="F19" s="651"/>
      <c r="G19" s="651"/>
      <c r="H19" s="651"/>
      <c r="I19" s="651"/>
      <c r="J19" s="651"/>
      <c r="K19" s="651"/>
      <c r="L19" s="651"/>
      <c r="M19" s="651"/>
      <c r="N19" s="651"/>
      <c r="O19" s="651"/>
      <c r="P19" s="651"/>
      <c r="Q19" s="651"/>
      <c r="R19" s="653"/>
    </row>
    <row r="20" spans="1:18" s="641" customFormat="1" ht="12.75" outlineLevel="1" thickBot="1">
      <c r="A20" s="654" t="s">
        <v>245</v>
      </c>
      <c r="B20" s="655"/>
      <c r="C20" s="655"/>
      <c r="D20" s="656"/>
      <c r="E20" s="657"/>
      <c r="F20" s="655"/>
      <c r="G20" s="655"/>
      <c r="H20" s="655"/>
      <c r="I20" s="655"/>
      <c r="J20" s="655"/>
      <c r="K20" s="655"/>
      <c r="L20" s="655"/>
      <c r="M20" s="655"/>
      <c r="N20" s="655"/>
      <c r="O20" s="655"/>
      <c r="P20" s="655"/>
      <c r="Q20" s="655"/>
      <c r="R20" s="658"/>
    </row>
    <row r="21" spans="1:18" s="666" customFormat="1" outlineLevel="1">
      <c r="A21" s="659" t="s">
        <v>259</v>
      </c>
      <c r="B21" s="707" t="e">
        <f>'КРМД-25'!R21</f>
        <v>#REF!</v>
      </c>
      <c r="C21" s="707"/>
      <c r="D21" s="708" t="e">
        <f>+B21*0.55</f>
        <v>#REF!</v>
      </c>
      <c r="E21" s="662" t="e">
        <f>B21*90</f>
        <v>#REF!</v>
      </c>
      <c r="F21" s="663" t="e">
        <f>B21</f>
        <v>#REF!</v>
      </c>
      <c r="G21" s="709" t="e">
        <f t="shared" ref="G21:Q21" si="4">(F21+F22+F23+F24-F26-F27-F28-F29-F30)</f>
        <v>#REF!</v>
      </c>
      <c r="H21" s="709" t="e">
        <f t="shared" si="4"/>
        <v>#REF!</v>
      </c>
      <c r="I21" s="709" t="e">
        <f t="shared" si="4"/>
        <v>#REF!</v>
      </c>
      <c r="J21" s="709" t="e">
        <f t="shared" si="4"/>
        <v>#REF!</v>
      </c>
      <c r="K21" s="709" t="e">
        <f t="shared" si="4"/>
        <v>#REF!</v>
      </c>
      <c r="L21" s="709" t="e">
        <f t="shared" si="4"/>
        <v>#REF!</v>
      </c>
      <c r="M21" s="709" t="e">
        <f t="shared" si="4"/>
        <v>#REF!</v>
      </c>
      <c r="N21" s="709" t="e">
        <f t="shared" si="4"/>
        <v>#REF!</v>
      </c>
      <c r="O21" s="709" t="e">
        <f t="shared" si="4"/>
        <v>#REF!</v>
      </c>
      <c r="P21" s="709" t="e">
        <f t="shared" si="4"/>
        <v>#REF!</v>
      </c>
      <c r="Q21" s="664" t="e">
        <f t="shared" si="4"/>
        <v>#REF!</v>
      </c>
      <c r="R21" s="665" t="e">
        <f>(Q21+Q22+Q23+Q24-Q26-Q27-Q28-Q29-Q30)</f>
        <v>#REF!</v>
      </c>
    </row>
    <row r="22" spans="1:18" s="666" customFormat="1" outlineLevel="1">
      <c r="A22" s="710" t="s">
        <v>247</v>
      </c>
      <c r="B22" s="668"/>
      <c r="C22" s="669"/>
      <c r="D22" s="670"/>
      <c r="E22" s="671"/>
      <c r="F22" s="711">
        <f>F124</f>
        <v>0</v>
      </c>
      <c r="G22" s="712">
        <f t="shared" ref="G22:Q22" si="5">G124</f>
        <v>0</v>
      </c>
      <c r="H22" s="712">
        <f t="shared" si="5"/>
        <v>0</v>
      </c>
      <c r="I22" s="712">
        <f t="shared" si="5"/>
        <v>0</v>
      </c>
      <c r="J22" s="712">
        <f t="shared" si="5"/>
        <v>0</v>
      </c>
      <c r="K22" s="712">
        <f t="shared" si="5"/>
        <v>0</v>
      </c>
      <c r="L22" s="712">
        <f t="shared" si="5"/>
        <v>0</v>
      </c>
      <c r="M22" s="712">
        <f t="shared" si="5"/>
        <v>0</v>
      </c>
      <c r="N22" s="712">
        <f t="shared" si="5"/>
        <v>0</v>
      </c>
      <c r="O22" s="712">
        <f t="shared" si="5"/>
        <v>0</v>
      </c>
      <c r="P22" s="712">
        <f t="shared" si="5"/>
        <v>0</v>
      </c>
      <c r="Q22" s="713">
        <f t="shared" si="5"/>
        <v>0</v>
      </c>
      <c r="R22" s="674">
        <f t="shared" ref="R22:R31" si="6">SUM(F22:Q22)</f>
        <v>0</v>
      </c>
    </row>
    <row r="23" spans="1:18" s="666" customFormat="1" outlineLevel="1">
      <c r="A23" s="710" t="s">
        <v>248</v>
      </c>
      <c r="B23" s="675"/>
      <c r="C23" s="676"/>
      <c r="D23" s="676"/>
      <c r="E23" s="677"/>
      <c r="F23" s="711"/>
      <c r="G23" s="712"/>
      <c r="H23" s="712"/>
      <c r="I23" s="712"/>
      <c r="J23" s="712"/>
      <c r="K23" s="712"/>
      <c r="L23" s="712"/>
      <c r="M23" s="712"/>
      <c r="N23" s="712"/>
      <c r="O23" s="712"/>
      <c r="P23" s="712"/>
      <c r="Q23" s="713"/>
      <c r="R23" s="674">
        <f t="shared" si="6"/>
        <v>0</v>
      </c>
    </row>
    <row r="24" spans="1:18" s="666" customFormat="1" ht="12.75" outlineLevel="1" thickBot="1">
      <c r="A24" s="714" t="s">
        <v>249</v>
      </c>
      <c r="B24" s="675"/>
      <c r="C24" s="676"/>
      <c r="D24" s="676"/>
      <c r="E24" s="677"/>
      <c r="F24" s="679"/>
      <c r="G24" s="687"/>
      <c r="H24" s="687"/>
      <c r="I24" s="687"/>
      <c r="J24" s="687"/>
      <c r="K24" s="687"/>
      <c r="L24" s="687"/>
      <c r="M24" s="687"/>
      <c r="N24" s="687"/>
      <c r="O24" s="687"/>
      <c r="P24" s="687"/>
      <c r="Q24" s="680"/>
      <c r="R24" s="681">
        <f t="shared" si="6"/>
        <v>0</v>
      </c>
    </row>
    <row r="25" spans="1:18" s="641" customFormat="1" ht="12.75" outlineLevel="1" thickBot="1">
      <c r="A25" s="715" t="s">
        <v>250</v>
      </c>
      <c r="B25" s="675"/>
      <c r="C25" s="676"/>
      <c r="D25" s="676"/>
      <c r="E25" s="677"/>
      <c r="F25" s="716"/>
      <c r="G25" s="717"/>
      <c r="H25" s="717"/>
      <c r="I25" s="717"/>
      <c r="J25" s="717"/>
      <c r="K25" s="717"/>
      <c r="L25" s="717"/>
      <c r="M25" s="717"/>
      <c r="N25" s="717"/>
      <c r="O25" s="717"/>
      <c r="P25" s="717"/>
      <c r="Q25" s="717"/>
      <c r="R25" s="684">
        <f t="shared" si="6"/>
        <v>0</v>
      </c>
    </row>
    <row r="26" spans="1:18" s="666" customFormat="1" outlineLevel="1">
      <c r="A26" s="718" t="s">
        <v>251</v>
      </c>
      <c r="B26" s="675"/>
      <c r="C26" s="676"/>
      <c r="D26" s="676"/>
      <c r="E26" s="677"/>
      <c r="F26" s="719"/>
      <c r="G26" s="720"/>
      <c r="H26" s="720"/>
      <c r="I26" s="720"/>
      <c r="J26" s="720"/>
      <c r="K26" s="720"/>
      <c r="L26" s="720"/>
      <c r="M26" s="720"/>
      <c r="N26" s="720"/>
      <c r="O26" s="720"/>
      <c r="P26" s="720"/>
      <c r="Q26" s="721"/>
      <c r="R26" s="689">
        <f t="shared" si="6"/>
        <v>0</v>
      </c>
    </row>
    <row r="27" spans="1:18" s="666" customFormat="1" ht="22.5" customHeight="1" outlineLevel="1">
      <c r="A27" s="722" t="s">
        <v>252</v>
      </c>
      <c r="B27" s="675"/>
      <c r="C27" s="676"/>
      <c r="D27" s="676"/>
      <c r="E27" s="676"/>
      <c r="F27" s="723"/>
      <c r="G27" s="691"/>
      <c r="H27" s="691"/>
      <c r="I27" s="691"/>
      <c r="J27" s="691"/>
      <c r="K27" s="691"/>
      <c r="L27" s="691"/>
      <c r="M27" s="691"/>
      <c r="N27" s="691"/>
      <c r="O27" s="691"/>
      <c r="P27" s="691"/>
      <c r="Q27" s="691"/>
      <c r="R27" s="692">
        <f t="shared" si="6"/>
        <v>0</v>
      </c>
    </row>
    <row r="28" spans="1:18" s="666" customFormat="1" outlineLevel="1">
      <c r="A28" s="722" t="s">
        <v>253</v>
      </c>
      <c r="B28" s="675"/>
      <c r="C28" s="676"/>
      <c r="D28" s="676"/>
      <c r="E28" s="676"/>
      <c r="F28" s="723"/>
      <c r="G28" s="691"/>
      <c r="H28" s="691"/>
      <c r="I28" s="691"/>
      <c r="J28" s="691"/>
      <c r="K28" s="691"/>
      <c r="L28" s="691"/>
      <c r="M28" s="691"/>
      <c r="N28" s="691"/>
      <c r="O28" s="691"/>
      <c r="P28" s="691"/>
      <c r="Q28" s="691"/>
      <c r="R28" s="692">
        <f t="shared" si="6"/>
        <v>0</v>
      </c>
    </row>
    <row r="29" spans="1:18" s="666" customFormat="1" outlineLevel="1">
      <c r="A29" s="722" t="s">
        <v>254</v>
      </c>
      <c r="B29" s="675"/>
      <c r="C29" s="676"/>
      <c r="D29" s="676"/>
      <c r="E29" s="676"/>
      <c r="F29" s="723"/>
      <c r="G29" s="691"/>
      <c r="H29" s="691"/>
      <c r="I29" s="691"/>
      <c r="J29" s="691"/>
      <c r="K29" s="691"/>
      <c r="L29" s="691"/>
      <c r="M29" s="691"/>
      <c r="N29" s="691"/>
      <c r="O29" s="691"/>
      <c r="P29" s="691"/>
      <c r="Q29" s="691"/>
      <c r="R29" s="692">
        <f t="shared" si="6"/>
        <v>0</v>
      </c>
    </row>
    <row r="30" spans="1:18" s="666" customFormat="1" outlineLevel="1">
      <c r="A30" s="722" t="s">
        <v>255</v>
      </c>
      <c r="B30" s="675"/>
      <c r="C30" s="676"/>
      <c r="D30" s="676"/>
      <c r="E30" s="677"/>
      <c r="F30" s="724"/>
      <c r="G30" s="688"/>
      <c r="H30" s="688"/>
      <c r="I30" s="688"/>
      <c r="J30" s="688"/>
      <c r="K30" s="688"/>
      <c r="L30" s="688"/>
      <c r="M30" s="688"/>
      <c r="N30" s="688"/>
      <c r="O30" s="688"/>
      <c r="P30" s="688"/>
      <c r="Q30" s="688"/>
      <c r="R30" s="674">
        <f t="shared" si="6"/>
        <v>0</v>
      </c>
    </row>
    <row r="31" spans="1:18" outlineLevel="1">
      <c r="A31" s="725" t="s">
        <v>256</v>
      </c>
      <c r="B31" s="694"/>
      <c r="C31" s="695"/>
      <c r="D31" s="696"/>
      <c r="E31" s="697"/>
      <c r="F31" s="726" t="e">
        <f t="shared" ref="F31:Q31" si="7">(F21+G21)/2*F$4</f>
        <v>#REF!</v>
      </c>
      <c r="G31" s="698" t="e">
        <f t="shared" si="7"/>
        <v>#REF!</v>
      </c>
      <c r="H31" s="698" t="e">
        <f t="shared" si="7"/>
        <v>#REF!</v>
      </c>
      <c r="I31" s="698" t="e">
        <f t="shared" si="7"/>
        <v>#REF!</v>
      </c>
      <c r="J31" s="698" t="e">
        <f t="shared" si="7"/>
        <v>#REF!</v>
      </c>
      <c r="K31" s="698" t="e">
        <f t="shared" si="7"/>
        <v>#REF!</v>
      </c>
      <c r="L31" s="698" t="e">
        <f t="shared" si="7"/>
        <v>#REF!</v>
      </c>
      <c r="M31" s="698" t="e">
        <f t="shared" si="7"/>
        <v>#REF!</v>
      </c>
      <c r="N31" s="698" t="e">
        <f t="shared" si="7"/>
        <v>#REF!</v>
      </c>
      <c r="O31" s="698" t="e">
        <f t="shared" si="7"/>
        <v>#REF!</v>
      </c>
      <c r="P31" s="698" t="e">
        <f t="shared" si="7"/>
        <v>#REF!</v>
      </c>
      <c r="Q31" s="698" t="e">
        <f t="shared" si="7"/>
        <v>#REF!</v>
      </c>
      <c r="R31" s="699" t="e">
        <f t="shared" si="6"/>
        <v>#REF!</v>
      </c>
    </row>
    <row r="32" spans="1:18" s="666" customFormat="1" ht="12.75" outlineLevel="1" thickBot="1">
      <c r="A32" s="700" t="s">
        <v>257</v>
      </c>
      <c r="B32" s="728"/>
      <c r="C32" s="728"/>
      <c r="D32" s="729"/>
      <c r="E32" s="730"/>
      <c r="F32" s="731" t="e">
        <f t="shared" ref="F32:Q32" si="8">F31/F$4</f>
        <v>#REF!</v>
      </c>
      <c r="G32" s="732" t="e">
        <f t="shared" si="8"/>
        <v>#REF!</v>
      </c>
      <c r="H32" s="732" t="e">
        <f t="shared" si="8"/>
        <v>#REF!</v>
      </c>
      <c r="I32" s="732" t="e">
        <f t="shared" si="8"/>
        <v>#REF!</v>
      </c>
      <c r="J32" s="732" t="e">
        <f t="shared" si="8"/>
        <v>#REF!</v>
      </c>
      <c r="K32" s="732" t="e">
        <f t="shared" si="8"/>
        <v>#REF!</v>
      </c>
      <c r="L32" s="732" t="e">
        <f t="shared" si="8"/>
        <v>#REF!</v>
      </c>
      <c r="M32" s="732" t="e">
        <f t="shared" si="8"/>
        <v>#REF!</v>
      </c>
      <c r="N32" s="732" t="e">
        <f t="shared" si="8"/>
        <v>#REF!</v>
      </c>
      <c r="O32" s="732" t="e">
        <f t="shared" si="8"/>
        <v>#REF!</v>
      </c>
      <c r="P32" s="732" t="e">
        <f t="shared" si="8"/>
        <v>#REF!</v>
      </c>
      <c r="Q32" s="732" t="e">
        <f t="shared" si="8"/>
        <v>#REF!</v>
      </c>
      <c r="R32" s="706" t="e">
        <f>R31/R$4</f>
        <v>#REF!</v>
      </c>
    </row>
    <row r="33" spans="1:18" s="641" customFormat="1" ht="12.75" thickBot="1">
      <c r="A33" s="650" t="s">
        <v>260</v>
      </c>
      <c r="B33" s="651"/>
      <c r="C33" s="651"/>
      <c r="D33" s="652"/>
      <c r="E33" s="652"/>
      <c r="F33" s="733"/>
      <c r="G33" s="733"/>
      <c r="H33" s="733"/>
      <c r="I33" s="733"/>
      <c r="J33" s="733"/>
      <c r="K33" s="733"/>
      <c r="L33" s="733"/>
      <c r="M33" s="733"/>
      <c r="N33" s="733"/>
      <c r="O33" s="733"/>
      <c r="P33" s="733"/>
      <c r="Q33" s="733"/>
      <c r="R33" s="653"/>
    </row>
    <row r="34" spans="1:18" s="641" customFormat="1" ht="12.75" outlineLevel="1" thickBot="1">
      <c r="A34" s="654" t="s">
        <v>245</v>
      </c>
      <c r="B34" s="655"/>
      <c r="C34" s="655"/>
      <c r="D34" s="656"/>
      <c r="E34" s="657"/>
      <c r="F34" s="717"/>
      <c r="G34" s="717"/>
      <c r="H34" s="717"/>
      <c r="I34" s="717"/>
      <c r="J34" s="717"/>
      <c r="K34" s="717"/>
      <c r="L34" s="717"/>
      <c r="M34" s="717"/>
      <c r="N34" s="717"/>
      <c r="O34" s="717"/>
      <c r="P34" s="717"/>
      <c r="Q34" s="717"/>
      <c r="R34" s="658"/>
    </row>
    <row r="35" spans="1:18" s="666" customFormat="1" outlineLevel="1">
      <c r="A35" s="659" t="s">
        <v>246</v>
      </c>
      <c r="B35" s="660" t="e">
        <f>'КРМД-25'!R35</f>
        <v>#REF!</v>
      </c>
      <c r="C35" s="660" t="e">
        <f>B35</f>
        <v>#REF!</v>
      </c>
      <c r="D35" s="708" t="e">
        <f>+B35*0.41</f>
        <v>#REF!</v>
      </c>
      <c r="E35" s="662" t="e">
        <f>B35*70</f>
        <v>#REF!</v>
      </c>
      <c r="F35" s="734" t="e">
        <f>B35</f>
        <v>#REF!</v>
      </c>
      <c r="G35" s="735" t="e">
        <f t="shared" ref="G35:Q35" si="9">(F35+F36+F37+F38-F40-F41-F42-F43-F44)</f>
        <v>#REF!</v>
      </c>
      <c r="H35" s="735" t="e">
        <f t="shared" si="9"/>
        <v>#REF!</v>
      </c>
      <c r="I35" s="735" t="e">
        <f t="shared" si="9"/>
        <v>#REF!</v>
      </c>
      <c r="J35" s="735" t="e">
        <f t="shared" si="9"/>
        <v>#REF!</v>
      </c>
      <c r="K35" s="735" t="e">
        <f t="shared" si="9"/>
        <v>#REF!</v>
      </c>
      <c r="L35" s="735" t="e">
        <f t="shared" si="9"/>
        <v>#REF!</v>
      </c>
      <c r="M35" s="735" t="e">
        <f t="shared" si="9"/>
        <v>#REF!</v>
      </c>
      <c r="N35" s="735" t="e">
        <f t="shared" si="9"/>
        <v>#REF!</v>
      </c>
      <c r="O35" s="735" t="e">
        <f t="shared" si="9"/>
        <v>#REF!</v>
      </c>
      <c r="P35" s="735" t="e">
        <f t="shared" si="9"/>
        <v>#REF!</v>
      </c>
      <c r="Q35" s="736" t="e">
        <f t="shared" si="9"/>
        <v>#REF!</v>
      </c>
      <c r="R35" s="665" t="e">
        <f>(Q35+Q36+Q37+Q38-Q40-Q41-Q42-Q43-Q44)</f>
        <v>#REF!</v>
      </c>
    </row>
    <row r="36" spans="1:18" s="666" customFormat="1" outlineLevel="1">
      <c r="A36" s="667" t="s">
        <v>247</v>
      </c>
      <c r="B36" s="668"/>
      <c r="C36" s="669"/>
      <c r="D36" s="670"/>
      <c r="E36" s="671"/>
      <c r="F36" s="737">
        <f>F68</f>
        <v>0</v>
      </c>
      <c r="G36" s="712">
        <f t="shared" ref="G36:Q36" si="10">G68</f>
        <v>0</v>
      </c>
      <c r="H36" s="712" t="e">
        <f t="shared" si="10"/>
        <v>#REF!</v>
      </c>
      <c r="I36" s="712">
        <f t="shared" si="10"/>
        <v>0</v>
      </c>
      <c r="J36" s="712">
        <f t="shared" si="10"/>
        <v>0</v>
      </c>
      <c r="K36" s="712">
        <f t="shared" si="10"/>
        <v>0</v>
      </c>
      <c r="L36" s="712">
        <f t="shared" si="10"/>
        <v>0</v>
      </c>
      <c r="M36" s="712">
        <f t="shared" si="10"/>
        <v>0</v>
      </c>
      <c r="N36" s="712">
        <f t="shared" si="10"/>
        <v>0</v>
      </c>
      <c r="O36" s="712">
        <f t="shared" si="10"/>
        <v>0</v>
      </c>
      <c r="P36" s="712">
        <f t="shared" si="10"/>
        <v>0</v>
      </c>
      <c r="Q36" s="713">
        <f t="shared" si="10"/>
        <v>0</v>
      </c>
      <c r="R36" s="674" t="e">
        <f>SUM(F36:Q36)</f>
        <v>#REF!</v>
      </c>
    </row>
    <row r="37" spans="1:18" s="666" customFormat="1" outlineLevel="1">
      <c r="A37" s="667" t="s">
        <v>248</v>
      </c>
      <c r="B37" s="675"/>
      <c r="C37" s="676"/>
      <c r="D37" s="676"/>
      <c r="E37" s="677"/>
      <c r="F37" s="738"/>
      <c r="G37" s="688"/>
      <c r="H37" s="688"/>
      <c r="I37" s="688"/>
      <c r="J37" s="688"/>
      <c r="K37" s="688"/>
      <c r="L37" s="688"/>
      <c r="M37" s="688"/>
      <c r="N37" s="688"/>
      <c r="O37" s="688"/>
      <c r="P37" s="688"/>
      <c r="Q37" s="673"/>
      <c r="R37" s="674">
        <f>SUM(F37:Q37)</f>
        <v>0</v>
      </c>
    </row>
    <row r="38" spans="1:18" s="666" customFormat="1" ht="12.75" outlineLevel="1" thickBot="1">
      <c r="A38" s="678" t="s">
        <v>249</v>
      </c>
      <c r="B38" s="675"/>
      <c r="C38" s="676"/>
      <c r="D38" s="676"/>
      <c r="E38" s="677"/>
      <c r="F38" s="739"/>
      <c r="G38" s="680"/>
      <c r="H38" s="680"/>
      <c r="I38" s="680"/>
      <c r="J38" s="680"/>
      <c r="K38" s="680"/>
      <c r="L38" s="680"/>
      <c r="M38" s="680"/>
      <c r="N38" s="680"/>
      <c r="O38" s="680"/>
      <c r="P38" s="680"/>
      <c r="Q38" s="680"/>
      <c r="R38" s="681">
        <f>SUM(F38:Q38)</f>
        <v>0</v>
      </c>
    </row>
    <row r="39" spans="1:18" s="641" customFormat="1" ht="12.75" outlineLevel="1" thickBot="1">
      <c r="A39" s="682" t="s">
        <v>250</v>
      </c>
      <c r="B39" s="675"/>
      <c r="C39" s="676"/>
      <c r="D39" s="676"/>
      <c r="E39" s="677"/>
      <c r="F39" s="740"/>
      <c r="G39" s="655"/>
      <c r="H39" s="655"/>
      <c r="I39" s="655"/>
      <c r="J39" s="655"/>
      <c r="K39" s="655"/>
      <c r="L39" s="655"/>
      <c r="M39" s="655"/>
      <c r="N39" s="655"/>
      <c r="O39" s="655"/>
      <c r="P39" s="655"/>
      <c r="Q39" s="655"/>
      <c r="R39" s="684"/>
    </row>
    <row r="40" spans="1:18" s="666" customFormat="1" outlineLevel="1">
      <c r="A40" s="685" t="s">
        <v>251</v>
      </c>
      <c r="B40" s="675"/>
      <c r="C40" s="676"/>
      <c r="D40" s="676"/>
      <c r="E40" s="677"/>
      <c r="F40" s="741"/>
      <c r="G40" s="687"/>
      <c r="H40" s="687"/>
      <c r="I40" s="687"/>
      <c r="J40" s="687"/>
      <c r="K40" s="687"/>
      <c r="L40" s="687"/>
      <c r="M40" s="687"/>
      <c r="N40" s="687"/>
      <c r="O40" s="687"/>
      <c r="P40" s="687"/>
      <c r="Q40" s="688"/>
      <c r="R40" s="689">
        <f t="shared" ref="R40:R45" si="11">SUM(F40:Q40)</f>
        <v>0</v>
      </c>
    </row>
    <row r="41" spans="1:18" s="666" customFormat="1" ht="22.5" customHeight="1" outlineLevel="1">
      <c r="A41" s="690" t="s">
        <v>252</v>
      </c>
      <c r="B41" s="675"/>
      <c r="C41" s="676"/>
      <c r="D41" s="676"/>
      <c r="E41" s="676"/>
      <c r="F41" s="723"/>
      <c r="G41" s="691"/>
      <c r="H41" s="691"/>
      <c r="I41" s="691"/>
      <c r="J41" s="691"/>
      <c r="K41" s="691"/>
      <c r="L41" s="691"/>
      <c r="M41" s="691"/>
      <c r="N41" s="691"/>
      <c r="O41" s="691"/>
      <c r="P41" s="691"/>
      <c r="Q41" s="691"/>
      <c r="R41" s="692">
        <f t="shared" si="11"/>
        <v>0</v>
      </c>
    </row>
    <row r="42" spans="1:18" s="666" customFormat="1" outlineLevel="1">
      <c r="A42" s="690" t="s">
        <v>253</v>
      </c>
      <c r="B42" s="675"/>
      <c r="C42" s="676"/>
      <c r="D42" s="676"/>
      <c r="E42" s="676"/>
      <c r="F42" s="723"/>
      <c r="G42" s="691"/>
      <c r="H42" s="691"/>
      <c r="I42" s="691"/>
      <c r="J42" s="691"/>
      <c r="K42" s="691"/>
      <c r="L42" s="691"/>
      <c r="M42" s="691"/>
      <c r="N42" s="691"/>
      <c r="O42" s="691"/>
      <c r="P42" s="691"/>
      <c r="Q42" s="691"/>
      <c r="R42" s="692">
        <f t="shared" si="11"/>
        <v>0</v>
      </c>
    </row>
    <row r="43" spans="1:18" s="666" customFormat="1" outlineLevel="1">
      <c r="A43" s="690" t="s">
        <v>254</v>
      </c>
      <c r="B43" s="675"/>
      <c r="C43" s="676"/>
      <c r="D43" s="676"/>
      <c r="E43" s="676"/>
      <c r="F43" s="723"/>
      <c r="G43" s="691"/>
      <c r="H43" s="691"/>
      <c r="I43" s="691"/>
      <c r="J43" s="691"/>
      <c r="K43" s="691"/>
      <c r="L43" s="691"/>
      <c r="M43" s="691"/>
      <c r="N43" s="691"/>
      <c r="O43" s="691"/>
      <c r="P43" s="691"/>
      <c r="Q43" s="691"/>
      <c r="R43" s="692">
        <f t="shared" si="11"/>
        <v>0</v>
      </c>
    </row>
    <row r="44" spans="1:18" s="666" customFormat="1" outlineLevel="1">
      <c r="A44" s="690" t="s">
        <v>255</v>
      </c>
      <c r="B44" s="675"/>
      <c r="C44" s="676"/>
      <c r="D44" s="676"/>
      <c r="E44" s="677"/>
      <c r="F44" s="738"/>
      <c r="G44" s="673"/>
      <c r="H44" s="673"/>
      <c r="I44" s="673"/>
      <c r="J44" s="673"/>
      <c r="K44" s="673"/>
      <c r="L44" s="673"/>
      <c r="M44" s="673"/>
      <c r="N44" s="673"/>
      <c r="O44" s="673"/>
      <c r="P44" s="673"/>
      <c r="Q44" s="673"/>
      <c r="R44" s="692">
        <f t="shared" si="11"/>
        <v>0</v>
      </c>
    </row>
    <row r="45" spans="1:18" s="666" customFormat="1" outlineLevel="1">
      <c r="A45" s="693" t="s">
        <v>256</v>
      </c>
      <c r="B45" s="694"/>
      <c r="C45" s="695"/>
      <c r="D45" s="696"/>
      <c r="E45" s="697"/>
      <c r="F45" s="726" t="e">
        <f t="shared" ref="F45:Q45" si="12">(F35+G35)/2*F$4</f>
        <v>#REF!</v>
      </c>
      <c r="G45" s="698" t="e">
        <f t="shared" si="12"/>
        <v>#REF!</v>
      </c>
      <c r="H45" s="698" t="e">
        <f t="shared" si="12"/>
        <v>#REF!</v>
      </c>
      <c r="I45" s="698" t="e">
        <f t="shared" si="12"/>
        <v>#REF!</v>
      </c>
      <c r="J45" s="698" t="e">
        <f t="shared" si="12"/>
        <v>#REF!</v>
      </c>
      <c r="K45" s="698" t="e">
        <f t="shared" si="12"/>
        <v>#REF!</v>
      </c>
      <c r="L45" s="698" t="e">
        <f t="shared" si="12"/>
        <v>#REF!</v>
      </c>
      <c r="M45" s="698" t="e">
        <f t="shared" si="12"/>
        <v>#REF!</v>
      </c>
      <c r="N45" s="698" t="e">
        <f t="shared" si="12"/>
        <v>#REF!</v>
      </c>
      <c r="O45" s="698" t="e">
        <f t="shared" si="12"/>
        <v>#REF!</v>
      </c>
      <c r="P45" s="698" t="e">
        <f t="shared" si="12"/>
        <v>#REF!</v>
      </c>
      <c r="Q45" s="698" t="e">
        <f t="shared" si="12"/>
        <v>#REF!</v>
      </c>
      <c r="R45" s="699" t="e">
        <f t="shared" si="11"/>
        <v>#REF!</v>
      </c>
    </row>
    <row r="46" spans="1:18" s="666" customFormat="1" ht="12.75" outlineLevel="1" thickBot="1">
      <c r="A46" s="700" t="s">
        <v>257</v>
      </c>
      <c r="B46" s="701"/>
      <c r="C46" s="701"/>
      <c r="D46" s="702"/>
      <c r="E46" s="703"/>
      <c r="F46" s="731" t="e">
        <f t="shared" ref="F46:Q46" si="13">F45/F$4</f>
        <v>#REF!</v>
      </c>
      <c r="G46" s="732" t="e">
        <f>G45/G$4</f>
        <v>#REF!</v>
      </c>
      <c r="H46" s="732" t="e">
        <f t="shared" si="13"/>
        <v>#REF!</v>
      </c>
      <c r="I46" s="732" t="e">
        <f t="shared" si="13"/>
        <v>#REF!</v>
      </c>
      <c r="J46" s="732" t="e">
        <f t="shared" si="13"/>
        <v>#REF!</v>
      </c>
      <c r="K46" s="732" t="e">
        <f t="shared" si="13"/>
        <v>#REF!</v>
      </c>
      <c r="L46" s="732" t="e">
        <f t="shared" si="13"/>
        <v>#REF!</v>
      </c>
      <c r="M46" s="732" t="e">
        <f t="shared" si="13"/>
        <v>#REF!</v>
      </c>
      <c r="N46" s="732" t="e">
        <f t="shared" si="13"/>
        <v>#REF!</v>
      </c>
      <c r="O46" s="732" t="e">
        <f t="shared" si="13"/>
        <v>#REF!</v>
      </c>
      <c r="P46" s="732" t="e">
        <f t="shared" si="13"/>
        <v>#REF!</v>
      </c>
      <c r="Q46" s="732" t="e">
        <f t="shared" si="13"/>
        <v>#REF!</v>
      </c>
      <c r="R46" s="706" t="e">
        <f>R45/R$4</f>
        <v>#REF!</v>
      </c>
    </row>
    <row r="47" spans="1:18" s="641" customFormat="1" ht="12.75" thickBot="1">
      <c r="A47" s="650" t="s">
        <v>261</v>
      </c>
      <c r="B47" s="651"/>
      <c r="C47" s="651"/>
      <c r="D47" s="652"/>
      <c r="E47" s="652"/>
      <c r="F47" s="733"/>
      <c r="G47" s="733"/>
      <c r="H47" s="733"/>
      <c r="I47" s="733"/>
      <c r="J47" s="733"/>
      <c r="K47" s="733"/>
      <c r="L47" s="733"/>
      <c r="M47" s="733"/>
      <c r="N47" s="733"/>
      <c r="O47" s="733"/>
      <c r="P47" s="733"/>
      <c r="Q47" s="733"/>
      <c r="R47" s="653"/>
    </row>
    <row r="48" spans="1:18" s="641" customFormat="1" ht="12.75" outlineLevel="1" thickBot="1">
      <c r="A48" s="654" t="s">
        <v>245</v>
      </c>
      <c r="B48" s="655"/>
      <c r="C48" s="655"/>
      <c r="D48" s="656"/>
      <c r="E48" s="657"/>
      <c r="F48" s="655"/>
      <c r="G48" s="655"/>
      <c r="H48" s="655"/>
      <c r="I48" s="655"/>
      <c r="J48" s="655"/>
      <c r="K48" s="655"/>
      <c r="L48" s="655"/>
      <c r="M48" s="655"/>
      <c r="N48" s="655"/>
      <c r="O48" s="655"/>
      <c r="P48" s="655"/>
      <c r="Q48" s="655"/>
      <c r="R48" s="658"/>
    </row>
    <row r="49" spans="1:18" s="666" customFormat="1" outlineLevel="1">
      <c r="A49" s="659" t="s">
        <v>262</v>
      </c>
      <c r="B49" s="707" t="e">
        <f>'КРМД-25'!R49</f>
        <v>#REF!</v>
      </c>
      <c r="C49" s="660" t="e">
        <f>B49</f>
        <v>#REF!</v>
      </c>
      <c r="D49" s="708" t="e">
        <f>+B49*0.41</f>
        <v>#REF!</v>
      </c>
      <c r="E49" s="742"/>
      <c r="F49" s="663" t="e">
        <f>B49</f>
        <v>#REF!</v>
      </c>
      <c r="G49" s="664" t="e">
        <f t="shared" ref="G49:L49" si="14">(F49+F50+F51+F52-F54-F55-F56-F57-F58)</f>
        <v>#REF!</v>
      </c>
      <c r="H49" s="664" t="e">
        <f t="shared" si="14"/>
        <v>#REF!</v>
      </c>
      <c r="I49" s="664" t="e">
        <f t="shared" si="14"/>
        <v>#REF!</v>
      </c>
      <c r="J49" s="664" t="e">
        <f t="shared" si="14"/>
        <v>#REF!</v>
      </c>
      <c r="K49" s="664" t="e">
        <f t="shared" si="14"/>
        <v>#REF!</v>
      </c>
      <c r="L49" s="664" t="e">
        <f t="shared" si="14"/>
        <v>#REF!</v>
      </c>
      <c r="M49" s="664" t="e">
        <f>(L49+L50+L51+L52-L54-M55-L56-L57-L58)</f>
        <v>#REF!</v>
      </c>
      <c r="N49" s="664" t="e">
        <f>(M49+M50+M51+M52-M54-N55-M56-M57-M58)</f>
        <v>#REF!</v>
      </c>
      <c r="O49" s="664" t="e">
        <f>(N49+N50+N51+N52-N54-N55-N56-N57-N58)</f>
        <v>#REF!</v>
      </c>
      <c r="P49" s="664" t="e">
        <f>(O49+O50+O51+O52-O54-O55-O56-O57-O58)</f>
        <v>#REF!</v>
      </c>
      <c r="Q49" s="664" t="e">
        <f>(P49+P50+P51+P52-P54-P55-P56-P57-P58)</f>
        <v>#REF!</v>
      </c>
      <c r="R49" s="665" t="e">
        <f>(Q49+Q50+Q51+Q52-Q54-Q55-Q56-Q57-Q58)</f>
        <v>#REF!</v>
      </c>
    </row>
    <row r="50" spans="1:18" s="666" customFormat="1" outlineLevel="1">
      <c r="A50" s="710" t="s">
        <v>247</v>
      </c>
      <c r="B50" s="668"/>
      <c r="C50" s="669"/>
      <c r="D50" s="670"/>
      <c r="E50" s="671"/>
      <c r="F50" s="743">
        <f t="shared" ref="F50:Q50" si="15">F12+F40+F26</f>
        <v>0</v>
      </c>
      <c r="G50" s="691">
        <f t="shared" si="15"/>
        <v>0</v>
      </c>
      <c r="H50" s="691">
        <f t="shared" si="15"/>
        <v>0</v>
      </c>
      <c r="I50" s="691">
        <f t="shared" si="15"/>
        <v>0</v>
      </c>
      <c r="J50" s="691">
        <f t="shared" si="15"/>
        <v>0</v>
      </c>
      <c r="K50" s="691">
        <f t="shared" si="15"/>
        <v>0</v>
      </c>
      <c r="L50" s="691">
        <f t="shared" si="15"/>
        <v>0</v>
      </c>
      <c r="M50" s="691">
        <f t="shared" si="15"/>
        <v>0</v>
      </c>
      <c r="N50" s="691">
        <f t="shared" si="15"/>
        <v>0</v>
      </c>
      <c r="O50" s="691">
        <f t="shared" si="15"/>
        <v>0</v>
      </c>
      <c r="P50" s="691">
        <f t="shared" si="15"/>
        <v>0</v>
      </c>
      <c r="Q50" s="691">
        <f t="shared" si="15"/>
        <v>0</v>
      </c>
      <c r="R50" s="674">
        <f>SUM(F50:Q50)</f>
        <v>0</v>
      </c>
    </row>
    <row r="51" spans="1:18" s="666" customFormat="1" outlineLevel="1">
      <c r="A51" s="710" t="s">
        <v>248</v>
      </c>
      <c r="B51" s="675"/>
      <c r="C51" s="676"/>
      <c r="D51" s="676"/>
      <c r="E51" s="677"/>
      <c r="F51" s="672"/>
      <c r="G51" s="673"/>
      <c r="H51" s="673"/>
      <c r="I51" s="673"/>
      <c r="J51" s="673"/>
      <c r="K51" s="673"/>
      <c r="L51" s="673"/>
      <c r="M51" s="673"/>
      <c r="N51" s="673"/>
      <c r="O51" s="673"/>
      <c r="P51" s="673"/>
      <c r="Q51" s="673"/>
      <c r="R51" s="674">
        <f>SUM(F51:Q51)</f>
        <v>0</v>
      </c>
    </row>
    <row r="52" spans="1:18" s="666" customFormat="1" ht="12.75" outlineLevel="1" thickBot="1">
      <c r="A52" s="714" t="s">
        <v>249</v>
      </c>
      <c r="B52" s="675"/>
      <c r="C52" s="676"/>
      <c r="D52" s="676"/>
      <c r="E52" s="677"/>
      <c r="F52" s="679"/>
      <c r="G52" s="680"/>
      <c r="H52" s="680"/>
      <c r="I52" s="680"/>
      <c r="J52" s="680"/>
      <c r="K52" s="680"/>
      <c r="L52" s="680"/>
      <c r="M52" s="680"/>
      <c r="N52" s="680"/>
      <c r="O52" s="680"/>
      <c r="P52" s="680"/>
      <c r="Q52" s="680"/>
      <c r="R52" s="681">
        <f>SUM(F52:Q52)</f>
        <v>0</v>
      </c>
    </row>
    <row r="53" spans="1:18" s="641" customFormat="1" ht="12.75" outlineLevel="1" thickBot="1">
      <c r="A53" s="715" t="s">
        <v>250</v>
      </c>
      <c r="B53" s="675"/>
      <c r="C53" s="676"/>
      <c r="D53" s="676"/>
      <c r="E53" s="677"/>
      <c r="F53" s="683"/>
      <c r="G53" s="655"/>
      <c r="H53" s="655"/>
      <c r="I53" s="655"/>
      <c r="J53" s="655"/>
      <c r="K53" s="655"/>
      <c r="L53" s="655"/>
      <c r="M53" s="655"/>
      <c r="N53" s="655"/>
      <c r="O53" s="655"/>
      <c r="P53" s="655"/>
      <c r="Q53" s="655"/>
      <c r="R53" s="684"/>
    </row>
    <row r="54" spans="1:18" s="666" customFormat="1" outlineLevel="1">
      <c r="A54" s="718" t="s">
        <v>251</v>
      </c>
      <c r="B54" s="675"/>
      <c r="C54" s="676"/>
      <c r="D54" s="676"/>
      <c r="E54" s="677"/>
      <c r="F54" s="744"/>
      <c r="G54" s="688"/>
      <c r="H54" s="688"/>
      <c r="I54" s="688"/>
      <c r="J54" s="688"/>
      <c r="K54" s="688"/>
      <c r="L54" s="688"/>
      <c r="M54" s="688"/>
      <c r="N54" s="688"/>
      <c r="O54" s="688"/>
      <c r="P54" s="688"/>
      <c r="Q54" s="688"/>
      <c r="R54" s="689">
        <f t="shared" ref="R54:R59" si="16">SUM(F54:Q54)</f>
        <v>0</v>
      </c>
    </row>
    <row r="55" spans="1:18" s="666" customFormat="1" ht="22.5" customHeight="1" outlineLevel="1">
      <c r="A55" s="722" t="s">
        <v>252</v>
      </c>
      <c r="B55" s="675"/>
      <c r="C55" s="676"/>
      <c r="D55" s="676"/>
      <c r="E55" s="677"/>
      <c r="F55" s="672"/>
      <c r="G55" s="673"/>
      <c r="H55" s="673"/>
      <c r="I55" s="673"/>
      <c r="J55" s="673"/>
      <c r="K55" s="673"/>
      <c r="L55" s="673"/>
      <c r="M55" s="673"/>
      <c r="N55" s="673"/>
      <c r="O55" s="673"/>
      <c r="P55" s="673"/>
      <c r="Q55" s="673"/>
      <c r="R55" s="674">
        <f t="shared" si="16"/>
        <v>0</v>
      </c>
    </row>
    <row r="56" spans="1:18" s="666" customFormat="1" outlineLevel="1">
      <c r="A56" s="722" t="s">
        <v>253</v>
      </c>
      <c r="B56" s="675"/>
      <c r="C56" s="676"/>
      <c r="D56" s="676"/>
      <c r="E56" s="677"/>
      <c r="F56" s="672"/>
      <c r="G56" s="673"/>
      <c r="H56" s="673"/>
      <c r="I56" s="673"/>
      <c r="J56" s="673"/>
      <c r="K56" s="673"/>
      <c r="L56" s="673"/>
      <c r="M56" s="673"/>
      <c r="N56" s="673"/>
      <c r="O56" s="673"/>
      <c r="P56" s="673"/>
      <c r="Q56" s="673"/>
      <c r="R56" s="674">
        <f t="shared" si="16"/>
        <v>0</v>
      </c>
    </row>
    <row r="57" spans="1:18" s="666" customFormat="1" outlineLevel="1">
      <c r="A57" s="722" t="s">
        <v>254</v>
      </c>
      <c r="B57" s="675"/>
      <c r="C57" s="676"/>
      <c r="D57" s="676"/>
      <c r="E57" s="677"/>
      <c r="F57" s="672"/>
      <c r="G57" s="673"/>
      <c r="H57" s="673"/>
      <c r="I57" s="673"/>
      <c r="J57" s="673"/>
      <c r="K57" s="673"/>
      <c r="L57" s="673"/>
      <c r="M57" s="673"/>
      <c r="N57" s="673"/>
      <c r="O57" s="673"/>
      <c r="P57" s="673"/>
      <c r="Q57" s="673"/>
      <c r="R57" s="674">
        <f t="shared" si="16"/>
        <v>0</v>
      </c>
    </row>
    <row r="58" spans="1:18" s="666" customFormat="1" outlineLevel="1">
      <c r="A58" s="722" t="s">
        <v>255</v>
      </c>
      <c r="B58" s="675"/>
      <c r="C58" s="676"/>
      <c r="D58" s="676"/>
      <c r="E58" s="677"/>
      <c r="F58" s="672"/>
      <c r="G58" s="673"/>
      <c r="H58" s="673"/>
      <c r="I58" s="673"/>
      <c r="J58" s="673"/>
      <c r="K58" s="673"/>
      <c r="L58" s="673"/>
      <c r="M58" s="673"/>
      <c r="N58" s="673"/>
      <c r="O58" s="673"/>
      <c r="P58" s="673"/>
      <c r="Q58" s="673"/>
      <c r="R58" s="674">
        <f t="shared" si="16"/>
        <v>0</v>
      </c>
    </row>
    <row r="59" spans="1:18" s="666" customFormat="1" outlineLevel="1">
      <c r="A59" s="725" t="s">
        <v>256</v>
      </c>
      <c r="B59" s="694"/>
      <c r="C59" s="695"/>
      <c r="D59" s="696"/>
      <c r="E59" s="697"/>
      <c r="F59" s="698" t="e">
        <f t="shared" ref="F59:Q59" si="17">(F49+G49)/2*F$4</f>
        <v>#REF!</v>
      </c>
      <c r="G59" s="698" t="e">
        <f t="shared" si="17"/>
        <v>#REF!</v>
      </c>
      <c r="H59" s="698" t="e">
        <f t="shared" si="17"/>
        <v>#REF!</v>
      </c>
      <c r="I59" s="698" t="e">
        <f t="shared" si="17"/>
        <v>#REF!</v>
      </c>
      <c r="J59" s="698" t="e">
        <f t="shared" si="17"/>
        <v>#REF!</v>
      </c>
      <c r="K59" s="698" t="e">
        <f t="shared" si="17"/>
        <v>#REF!</v>
      </c>
      <c r="L59" s="698" t="e">
        <f t="shared" si="17"/>
        <v>#REF!</v>
      </c>
      <c r="M59" s="698" t="e">
        <f>(M49+N49)/2*M$4</f>
        <v>#REF!</v>
      </c>
      <c r="N59" s="698" t="e">
        <f t="shared" si="17"/>
        <v>#REF!</v>
      </c>
      <c r="O59" s="698" t="e">
        <f t="shared" si="17"/>
        <v>#REF!</v>
      </c>
      <c r="P59" s="698" t="e">
        <f t="shared" si="17"/>
        <v>#REF!</v>
      </c>
      <c r="Q59" s="698" t="e">
        <f t="shared" si="17"/>
        <v>#REF!</v>
      </c>
      <c r="R59" s="699" t="e">
        <f t="shared" si="16"/>
        <v>#REF!</v>
      </c>
    </row>
    <row r="60" spans="1:18" s="666" customFormat="1" ht="12.75" outlineLevel="1" thickBot="1">
      <c r="A60" s="700" t="s">
        <v>257</v>
      </c>
      <c r="B60" s="701"/>
      <c r="C60" s="701"/>
      <c r="D60" s="702"/>
      <c r="E60" s="703"/>
      <c r="F60" s="704" t="e">
        <f t="shared" ref="F60:Q60" si="18">F59/F$4</f>
        <v>#REF!</v>
      </c>
      <c r="G60" s="705" t="e">
        <f t="shared" si="18"/>
        <v>#REF!</v>
      </c>
      <c r="H60" s="705" t="e">
        <f t="shared" si="18"/>
        <v>#REF!</v>
      </c>
      <c r="I60" s="705" t="e">
        <f t="shared" si="18"/>
        <v>#REF!</v>
      </c>
      <c r="J60" s="705" t="e">
        <f t="shared" si="18"/>
        <v>#REF!</v>
      </c>
      <c r="K60" s="705" t="e">
        <f t="shared" si="18"/>
        <v>#REF!</v>
      </c>
      <c r="L60" s="705" t="e">
        <f t="shared" si="18"/>
        <v>#REF!</v>
      </c>
      <c r="M60" s="705" t="e">
        <f t="shared" si="18"/>
        <v>#REF!</v>
      </c>
      <c r="N60" s="705" t="e">
        <f t="shared" si="18"/>
        <v>#REF!</v>
      </c>
      <c r="O60" s="705" t="e">
        <f t="shared" si="18"/>
        <v>#REF!</v>
      </c>
      <c r="P60" s="705" t="e">
        <f t="shared" si="18"/>
        <v>#REF!</v>
      </c>
      <c r="Q60" s="705" t="e">
        <f t="shared" si="18"/>
        <v>#REF!</v>
      </c>
      <c r="R60" s="706" t="e">
        <f>R59/R$4</f>
        <v>#REF!</v>
      </c>
    </row>
    <row r="61" spans="1:18" s="641" customFormat="1" ht="12.75" thickBot="1">
      <c r="A61" s="650" t="s">
        <v>263</v>
      </c>
      <c r="B61" s="651"/>
      <c r="C61" s="651"/>
      <c r="D61" s="652"/>
      <c r="E61" s="652"/>
      <c r="F61" s="651"/>
      <c r="G61" s="651"/>
      <c r="H61" s="651"/>
      <c r="I61" s="651"/>
      <c r="J61" s="651"/>
      <c r="K61" s="651"/>
      <c r="L61" s="651"/>
      <c r="M61" s="651"/>
      <c r="N61" s="651"/>
      <c r="O61" s="651"/>
      <c r="P61" s="651"/>
      <c r="Q61" s="651"/>
      <c r="R61" s="653"/>
    </row>
    <row r="62" spans="1:18" s="641" customFormat="1" ht="12.75" outlineLevel="1" thickBot="1">
      <c r="A62" s="654" t="s">
        <v>245</v>
      </c>
      <c r="B62" s="655"/>
      <c r="C62" s="655"/>
      <c r="D62" s="656"/>
      <c r="E62" s="657"/>
      <c r="F62" s="655"/>
      <c r="G62" s="655"/>
      <c r="H62" s="655"/>
      <c r="I62" s="655"/>
      <c r="J62" s="655"/>
      <c r="K62" s="655"/>
      <c r="L62" s="655"/>
      <c r="M62" s="655"/>
      <c r="N62" s="655"/>
      <c r="O62" s="655"/>
      <c r="P62" s="655"/>
      <c r="Q62" s="655"/>
      <c r="R62" s="658"/>
    </row>
    <row r="63" spans="1:18" s="666" customFormat="1" outlineLevel="1">
      <c r="A63" s="659" t="s">
        <v>262</v>
      </c>
      <c r="B63" s="660" t="e">
        <f>'КРМД-25'!R63</f>
        <v>#REF!</v>
      </c>
      <c r="C63" s="660" t="e">
        <f>B63</f>
        <v>#REF!</v>
      </c>
      <c r="D63" s="708" t="e">
        <f>+B63*0.35</f>
        <v>#REF!</v>
      </c>
      <c r="E63" s="662" t="e">
        <f>B63*60</f>
        <v>#REF!</v>
      </c>
      <c r="F63" s="663" t="e">
        <f>B63</f>
        <v>#REF!</v>
      </c>
      <c r="G63" s="664" t="e">
        <f t="shared" ref="G63:Q63" si="19">(F63+F64+F65+F66-F68-F69-F70-F71-F72)</f>
        <v>#REF!</v>
      </c>
      <c r="H63" s="664" t="e">
        <f t="shared" si="19"/>
        <v>#REF!</v>
      </c>
      <c r="I63" s="664" t="e">
        <f t="shared" si="19"/>
        <v>#REF!</v>
      </c>
      <c r="J63" s="664" t="e">
        <f t="shared" si="19"/>
        <v>#REF!</v>
      </c>
      <c r="K63" s="664" t="e">
        <f t="shared" si="19"/>
        <v>#REF!</v>
      </c>
      <c r="L63" s="664" t="e">
        <f t="shared" si="19"/>
        <v>#REF!</v>
      </c>
      <c r="M63" s="664" t="e">
        <f t="shared" si="19"/>
        <v>#REF!</v>
      </c>
      <c r="N63" s="664" t="e">
        <f t="shared" si="19"/>
        <v>#REF!</v>
      </c>
      <c r="O63" s="664" t="e">
        <f t="shared" si="19"/>
        <v>#REF!</v>
      </c>
      <c r="P63" s="664" t="e">
        <f t="shared" si="19"/>
        <v>#REF!</v>
      </c>
      <c r="Q63" s="664" t="e">
        <f t="shared" si="19"/>
        <v>#REF!</v>
      </c>
      <c r="R63" s="665" t="e">
        <f>(Q63+Q64+Q65+Q66-Q68-Q69-Q70-Q71-Q72)</f>
        <v>#REF!</v>
      </c>
    </row>
    <row r="64" spans="1:18" s="666" customFormat="1" outlineLevel="1">
      <c r="A64" s="667" t="s">
        <v>247</v>
      </c>
      <c r="B64" s="668"/>
      <c r="C64" s="669"/>
      <c r="D64" s="670"/>
      <c r="E64" s="671"/>
      <c r="F64" s="713">
        <f>F82</f>
        <v>0</v>
      </c>
      <c r="G64" s="713">
        <f t="shared" ref="G64:Q64" si="20">G82</f>
        <v>0</v>
      </c>
      <c r="H64" s="713">
        <f t="shared" si="20"/>
        <v>0</v>
      </c>
      <c r="I64" s="713">
        <f t="shared" si="20"/>
        <v>0</v>
      </c>
      <c r="J64" s="713">
        <f t="shared" si="20"/>
        <v>0</v>
      </c>
      <c r="K64" s="713">
        <f t="shared" si="20"/>
        <v>0</v>
      </c>
      <c r="L64" s="713">
        <f t="shared" si="20"/>
        <v>0</v>
      </c>
      <c r="M64" s="713">
        <f t="shared" si="20"/>
        <v>0</v>
      </c>
      <c r="N64" s="713">
        <f t="shared" si="20"/>
        <v>0</v>
      </c>
      <c r="O64" s="713">
        <f>O82</f>
        <v>0</v>
      </c>
      <c r="P64" s="713">
        <f>P82</f>
        <v>0</v>
      </c>
      <c r="Q64" s="713" t="e">
        <f t="shared" si="20"/>
        <v>#REF!</v>
      </c>
      <c r="R64" s="674" t="e">
        <f t="shared" ref="R64:R73" si="21">SUM(F64:Q64)</f>
        <v>#REF!</v>
      </c>
    </row>
    <row r="65" spans="1:18" s="666" customFormat="1" outlineLevel="1">
      <c r="A65" s="667" t="s">
        <v>248</v>
      </c>
      <c r="B65" s="675"/>
      <c r="C65" s="676"/>
      <c r="D65" s="676"/>
      <c r="E65" s="677"/>
      <c r="F65" s="713"/>
      <c r="G65" s="673"/>
      <c r="H65" s="673"/>
      <c r="I65" s="673"/>
      <c r="J65" s="673"/>
      <c r="K65" s="673"/>
      <c r="L65" s="673"/>
      <c r="M65" s="673"/>
      <c r="N65" s="673"/>
      <c r="O65" s="673"/>
      <c r="P65" s="673"/>
      <c r="Q65" s="673"/>
      <c r="R65" s="674">
        <f t="shared" si="21"/>
        <v>0</v>
      </c>
    </row>
    <row r="66" spans="1:18" s="666" customFormat="1" ht="12.75" outlineLevel="1" thickBot="1">
      <c r="A66" s="678" t="s">
        <v>249</v>
      </c>
      <c r="B66" s="675"/>
      <c r="C66" s="676"/>
      <c r="D66" s="676"/>
      <c r="E66" s="677"/>
      <c r="F66" s="680"/>
      <c r="G66" s="680"/>
      <c r="H66" s="680"/>
      <c r="I66" s="680"/>
      <c r="J66" s="680"/>
      <c r="K66" s="680"/>
      <c r="L66" s="680"/>
      <c r="M66" s="680"/>
      <c r="N66" s="680"/>
      <c r="O66" s="680"/>
      <c r="P66" s="680"/>
      <c r="Q66" s="680"/>
      <c r="R66" s="681">
        <f t="shared" si="21"/>
        <v>0</v>
      </c>
    </row>
    <row r="67" spans="1:18" s="666" customFormat="1" ht="12.75" outlineLevel="1" thickBot="1">
      <c r="A67" s="682" t="s">
        <v>250</v>
      </c>
      <c r="B67" s="675"/>
      <c r="C67" s="676"/>
      <c r="D67" s="676"/>
      <c r="E67" s="677"/>
      <c r="F67" s="745"/>
      <c r="G67" s="745"/>
      <c r="H67" s="745"/>
      <c r="I67" s="745"/>
      <c r="J67" s="745"/>
      <c r="K67" s="745"/>
      <c r="L67" s="745"/>
      <c r="M67" s="745"/>
      <c r="N67" s="745"/>
      <c r="O67" s="745"/>
      <c r="P67" s="745"/>
      <c r="Q67" s="745"/>
      <c r="R67" s="684">
        <f t="shared" si="21"/>
        <v>0</v>
      </c>
    </row>
    <row r="68" spans="1:18" s="666" customFormat="1" outlineLevel="1">
      <c r="A68" s="685" t="s">
        <v>251</v>
      </c>
      <c r="B68" s="675"/>
      <c r="C68" s="676"/>
      <c r="D68" s="676"/>
      <c r="E68" s="677"/>
      <c r="F68" s="746"/>
      <c r="G68" s="688"/>
      <c r="H68" s="688" t="e">
        <f>H63</f>
        <v>#REF!</v>
      </c>
      <c r="I68" s="688"/>
      <c r="J68" s="688"/>
      <c r="K68" s="688"/>
      <c r="L68" s="688"/>
      <c r="M68" s="688"/>
      <c r="N68" s="688"/>
      <c r="O68" s="688"/>
      <c r="P68" s="688"/>
      <c r="Q68" s="688"/>
      <c r="R68" s="689" t="e">
        <f t="shared" si="21"/>
        <v>#REF!</v>
      </c>
    </row>
    <row r="69" spans="1:18" s="666" customFormat="1" ht="22.5" customHeight="1" outlineLevel="1">
      <c r="A69" s="690" t="s">
        <v>252</v>
      </c>
      <c r="B69" s="675"/>
      <c r="C69" s="676"/>
      <c r="D69" s="676"/>
      <c r="E69" s="677"/>
      <c r="F69" s="713"/>
      <c r="G69" s="673"/>
      <c r="H69" s="673"/>
      <c r="I69" s="673"/>
      <c r="J69" s="673"/>
      <c r="K69" s="673"/>
      <c r="L69" s="673"/>
      <c r="M69" s="673"/>
      <c r="N69" s="673"/>
      <c r="O69" s="673"/>
      <c r="P69" s="673"/>
      <c r="Q69" s="673"/>
      <c r="R69" s="674">
        <f t="shared" si="21"/>
        <v>0</v>
      </c>
    </row>
    <row r="70" spans="1:18" s="666" customFormat="1" outlineLevel="1">
      <c r="A70" s="690" t="s">
        <v>253</v>
      </c>
      <c r="B70" s="675"/>
      <c r="C70" s="676"/>
      <c r="D70" s="676"/>
      <c r="E70" s="677"/>
      <c r="F70" s="713"/>
      <c r="G70" s="673"/>
      <c r="H70" s="673"/>
      <c r="I70" s="673"/>
      <c r="J70" s="673"/>
      <c r="K70" s="673"/>
      <c r="L70" s="673"/>
      <c r="M70" s="673"/>
      <c r="N70" s="673"/>
      <c r="O70" s="673"/>
      <c r="P70" s="673"/>
      <c r="Q70" s="673"/>
      <c r="R70" s="674">
        <f t="shared" si="21"/>
        <v>0</v>
      </c>
    </row>
    <row r="71" spans="1:18" s="666" customFormat="1" outlineLevel="1">
      <c r="A71" s="690" t="s">
        <v>254</v>
      </c>
      <c r="B71" s="675"/>
      <c r="C71" s="676"/>
      <c r="D71" s="676"/>
      <c r="E71" s="677"/>
      <c r="F71" s="713"/>
      <c r="G71" s="673"/>
      <c r="H71" s="673"/>
      <c r="I71" s="673"/>
      <c r="J71" s="673"/>
      <c r="K71" s="673"/>
      <c r="L71" s="673"/>
      <c r="M71" s="673"/>
      <c r="N71" s="673"/>
      <c r="O71" s="673"/>
      <c r="P71" s="673"/>
      <c r="Q71" s="673"/>
      <c r="R71" s="674">
        <f t="shared" si="21"/>
        <v>0</v>
      </c>
    </row>
    <row r="72" spans="1:18" s="666" customFormat="1" outlineLevel="1">
      <c r="A72" s="690" t="s">
        <v>255</v>
      </c>
      <c r="B72" s="675"/>
      <c r="C72" s="676"/>
      <c r="D72" s="676"/>
      <c r="E72" s="677"/>
      <c r="F72" s="713"/>
      <c r="G72" s="673"/>
      <c r="H72" s="673"/>
      <c r="I72" s="673"/>
      <c r="J72" s="673"/>
      <c r="K72" s="673"/>
      <c r="L72" s="673"/>
      <c r="M72" s="673"/>
      <c r="N72" s="673"/>
      <c r="O72" s="673"/>
      <c r="P72" s="673"/>
      <c r="Q72" s="673"/>
      <c r="R72" s="674">
        <f t="shared" si="21"/>
        <v>0</v>
      </c>
    </row>
    <row r="73" spans="1:18" s="666" customFormat="1" outlineLevel="1">
      <c r="A73" s="693" t="s">
        <v>256</v>
      </c>
      <c r="B73" s="694"/>
      <c r="C73" s="695"/>
      <c r="D73" s="696"/>
      <c r="E73" s="697"/>
      <c r="F73" s="698" t="e">
        <f t="shared" ref="F73:Q73" si="22">(F63+G63)/2*F$4</f>
        <v>#REF!</v>
      </c>
      <c r="G73" s="698" t="e">
        <f t="shared" si="22"/>
        <v>#REF!</v>
      </c>
      <c r="H73" s="698" t="e">
        <f t="shared" si="22"/>
        <v>#REF!</v>
      </c>
      <c r="I73" s="698" t="e">
        <f t="shared" si="22"/>
        <v>#REF!</v>
      </c>
      <c r="J73" s="698" t="e">
        <f t="shared" si="22"/>
        <v>#REF!</v>
      </c>
      <c r="K73" s="698" t="e">
        <f t="shared" si="22"/>
        <v>#REF!</v>
      </c>
      <c r="L73" s="698" t="e">
        <f t="shared" si="22"/>
        <v>#REF!</v>
      </c>
      <c r="M73" s="698" t="e">
        <f t="shared" si="22"/>
        <v>#REF!</v>
      </c>
      <c r="N73" s="698" t="e">
        <f t="shared" si="22"/>
        <v>#REF!</v>
      </c>
      <c r="O73" s="698" t="e">
        <f t="shared" si="22"/>
        <v>#REF!</v>
      </c>
      <c r="P73" s="698" t="e">
        <f t="shared" si="22"/>
        <v>#REF!</v>
      </c>
      <c r="Q73" s="698" t="e">
        <f t="shared" si="22"/>
        <v>#REF!</v>
      </c>
      <c r="R73" s="699" t="e">
        <f t="shared" si="21"/>
        <v>#REF!</v>
      </c>
    </row>
    <row r="74" spans="1:18" s="666" customFormat="1" ht="12.75" outlineLevel="1" thickBot="1">
      <c r="A74" s="700" t="s">
        <v>257</v>
      </c>
      <c r="B74" s="701"/>
      <c r="C74" s="701"/>
      <c r="D74" s="702"/>
      <c r="E74" s="703"/>
      <c r="F74" s="704" t="e">
        <f t="shared" ref="F74:Q74" si="23">F73/F$4</f>
        <v>#REF!</v>
      </c>
      <c r="G74" s="705" t="e">
        <f t="shared" si="23"/>
        <v>#REF!</v>
      </c>
      <c r="H74" s="705" t="e">
        <f t="shared" si="23"/>
        <v>#REF!</v>
      </c>
      <c r="I74" s="705" t="e">
        <f t="shared" si="23"/>
        <v>#REF!</v>
      </c>
      <c r="J74" s="705" t="e">
        <f t="shared" si="23"/>
        <v>#REF!</v>
      </c>
      <c r="K74" s="705" t="e">
        <f t="shared" si="23"/>
        <v>#REF!</v>
      </c>
      <c r="L74" s="705" t="e">
        <f t="shared" si="23"/>
        <v>#REF!</v>
      </c>
      <c r="M74" s="705" t="e">
        <f t="shared" si="23"/>
        <v>#REF!</v>
      </c>
      <c r="N74" s="705" t="e">
        <f t="shared" si="23"/>
        <v>#REF!</v>
      </c>
      <c r="O74" s="705" t="e">
        <f t="shared" si="23"/>
        <v>#REF!</v>
      </c>
      <c r="P74" s="705" t="e">
        <f t="shared" si="23"/>
        <v>#REF!</v>
      </c>
      <c r="Q74" s="705" t="e">
        <f t="shared" si="23"/>
        <v>#REF!</v>
      </c>
      <c r="R74" s="706" t="e">
        <f>R73/R$4</f>
        <v>#REF!</v>
      </c>
    </row>
    <row r="75" spans="1:18" s="641" customFormat="1" ht="12.75" thickBot="1">
      <c r="A75" s="650" t="s">
        <v>264</v>
      </c>
      <c r="B75" s="651"/>
      <c r="C75" s="651"/>
      <c r="D75" s="652"/>
      <c r="E75" s="652"/>
      <c r="F75" s="651"/>
      <c r="G75" s="651"/>
      <c r="H75" s="651"/>
      <c r="I75" s="651"/>
      <c r="J75" s="651"/>
      <c r="K75" s="651"/>
      <c r="L75" s="651"/>
      <c r="M75" s="651"/>
      <c r="N75" s="651"/>
      <c r="O75" s="651"/>
      <c r="P75" s="651"/>
      <c r="Q75" s="651"/>
      <c r="R75" s="653"/>
    </row>
    <row r="76" spans="1:18" s="641" customFormat="1" ht="12.75" outlineLevel="1" thickBot="1">
      <c r="A76" s="654"/>
      <c r="B76" s="655"/>
      <c r="C76" s="655"/>
      <c r="D76" s="656"/>
      <c r="E76" s="657"/>
      <c r="F76" s="655"/>
      <c r="G76" s="655"/>
      <c r="H76" s="655"/>
      <c r="I76" s="655"/>
      <c r="J76" s="655"/>
      <c r="K76" s="655"/>
      <c r="L76" s="655"/>
      <c r="M76" s="655"/>
      <c r="N76" s="655"/>
      <c r="O76" s="655"/>
      <c r="P76" s="655"/>
      <c r="Q76" s="655"/>
      <c r="R76" s="658"/>
    </row>
    <row r="77" spans="1:18" s="666" customFormat="1" outlineLevel="1">
      <c r="A77" s="659" t="s">
        <v>262</v>
      </c>
      <c r="B77" s="707" t="e">
        <f>'КРМД-25'!R77</f>
        <v>#REF!</v>
      </c>
      <c r="C77" s="660" t="e">
        <f>B77</f>
        <v>#REF!</v>
      </c>
      <c r="D77" s="708" t="e">
        <f>+B77*0.31</f>
        <v>#REF!</v>
      </c>
      <c r="E77" s="662" t="e">
        <f>B77*55</f>
        <v>#REF!</v>
      </c>
      <c r="F77" s="663" t="e">
        <f>B77</f>
        <v>#REF!</v>
      </c>
      <c r="G77" s="709" t="e">
        <f t="shared" ref="G77:Q77" si="24">(F77+F78+F79+F80-F82-F83-F84-F85-F86)</f>
        <v>#REF!</v>
      </c>
      <c r="H77" s="709" t="e">
        <f t="shared" si="24"/>
        <v>#REF!</v>
      </c>
      <c r="I77" s="709" t="e">
        <f t="shared" si="24"/>
        <v>#REF!</v>
      </c>
      <c r="J77" s="709" t="e">
        <f t="shared" si="24"/>
        <v>#REF!</v>
      </c>
      <c r="K77" s="709" t="e">
        <f t="shared" si="24"/>
        <v>#REF!</v>
      </c>
      <c r="L77" s="709" t="e">
        <f t="shared" si="24"/>
        <v>#REF!</v>
      </c>
      <c r="M77" s="709" t="e">
        <f t="shared" si="24"/>
        <v>#REF!</v>
      </c>
      <c r="N77" s="709" t="e">
        <f t="shared" si="24"/>
        <v>#REF!</v>
      </c>
      <c r="O77" s="709" t="e">
        <f t="shared" si="24"/>
        <v>#REF!</v>
      </c>
      <c r="P77" s="709" t="e">
        <f t="shared" si="24"/>
        <v>#REF!</v>
      </c>
      <c r="Q77" s="664" t="e">
        <f t="shared" si="24"/>
        <v>#REF!</v>
      </c>
      <c r="R77" s="665" t="e">
        <f>(Q77+Q78+Q79+Q80-Q82-Q83-Q84-Q85-Q86)</f>
        <v>#REF!</v>
      </c>
    </row>
    <row r="78" spans="1:18" s="666" customFormat="1" outlineLevel="1">
      <c r="A78" s="710" t="s">
        <v>247</v>
      </c>
      <c r="B78" s="668"/>
      <c r="C78" s="669"/>
      <c r="D78" s="670"/>
      <c r="E78" s="671"/>
      <c r="F78" s="711">
        <f>F96</f>
        <v>0</v>
      </c>
      <c r="G78" s="712">
        <f t="shared" ref="G78:Q78" si="25">G96</f>
        <v>0</v>
      </c>
      <c r="H78" s="712">
        <f t="shared" si="25"/>
        <v>0</v>
      </c>
      <c r="I78" s="712">
        <f t="shared" si="25"/>
        <v>0</v>
      </c>
      <c r="J78" s="712">
        <f t="shared" si="25"/>
        <v>0</v>
      </c>
      <c r="K78" s="712">
        <f t="shared" si="25"/>
        <v>0</v>
      </c>
      <c r="L78" s="712">
        <f t="shared" si="25"/>
        <v>0</v>
      </c>
      <c r="M78" s="712">
        <f t="shared" si="25"/>
        <v>0</v>
      </c>
      <c r="N78" s="712">
        <f t="shared" si="25"/>
        <v>0</v>
      </c>
      <c r="O78" s="712">
        <f t="shared" si="25"/>
        <v>0</v>
      </c>
      <c r="P78" s="712">
        <f t="shared" si="25"/>
        <v>0</v>
      </c>
      <c r="Q78" s="713" t="e">
        <f t="shared" si="25"/>
        <v>#REF!</v>
      </c>
      <c r="R78" s="674" t="e">
        <f t="shared" ref="R78:R87" si="26">SUM(F78:Q78)</f>
        <v>#REF!</v>
      </c>
    </row>
    <row r="79" spans="1:18" s="666" customFormat="1" outlineLevel="1">
      <c r="A79" s="710" t="s">
        <v>248</v>
      </c>
      <c r="B79" s="675"/>
      <c r="C79" s="676"/>
      <c r="D79" s="676"/>
      <c r="E79" s="677"/>
      <c r="F79" s="672"/>
      <c r="G79" s="688"/>
      <c r="H79" s="688"/>
      <c r="I79" s="688"/>
      <c r="J79" s="688"/>
      <c r="K79" s="688"/>
      <c r="L79" s="688"/>
      <c r="M79" s="688"/>
      <c r="N79" s="688"/>
      <c r="O79" s="688"/>
      <c r="P79" s="688"/>
      <c r="Q79" s="673"/>
      <c r="R79" s="674">
        <f t="shared" si="26"/>
        <v>0</v>
      </c>
    </row>
    <row r="80" spans="1:18" s="666" customFormat="1" ht="12.75" outlineLevel="1" thickBot="1">
      <c r="A80" s="714" t="s">
        <v>249</v>
      </c>
      <c r="B80" s="675"/>
      <c r="C80" s="676"/>
      <c r="D80" s="676"/>
      <c r="E80" s="677"/>
      <c r="F80" s="679"/>
      <c r="G80" s="680"/>
      <c r="H80" s="680"/>
      <c r="I80" s="680"/>
      <c r="J80" s="680"/>
      <c r="K80" s="680"/>
      <c r="L80" s="680"/>
      <c r="M80" s="680"/>
      <c r="N80" s="680"/>
      <c r="O80" s="680"/>
      <c r="P80" s="680"/>
      <c r="Q80" s="680"/>
      <c r="R80" s="681">
        <f t="shared" si="26"/>
        <v>0</v>
      </c>
    </row>
    <row r="81" spans="1:18" s="641" customFormat="1" ht="12.75" outlineLevel="1" thickBot="1">
      <c r="A81" s="715" t="s">
        <v>250</v>
      </c>
      <c r="B81" s="675"/>
      <c r="C81" s="676"/>
      <c r="D81" s="676"/>
      <c r="E81" s="677"/>
      <c r="F81" s="683"/>
      <c r="G81" s="655"/>
      <c r="H81" s="655"/>
      <c r="I81" s="655"/>
      <c r="J81" s="655"/>
      <c r="K81" s="655"/>
      <c r="L81" s="655"/>
      <c r="M81" s="655"/>
      <c r="N81" s="655"/>
      <c r="O81" s="655"/>
      <c r="P81" s="655"/>
      <c r="Q81" s="655"/>
      <c r="R81" s="684">
        <f t="shared" si="26"/>
        <v>0</v>
      </c>
    </row>
    <row r="82" spans="1:18" s="666" customFormat="1" outlineLevel="1">
      <c r="A82" s="718" t="s">
        <v>251</v>
      </c>
      <c r="B82" s="675"/>
      <c r="C82" s="676"/>
      <c r="D82" s="676"/>
      <c r="E82" s="677"/>
      <c r="F82" s="744"/>
      <c r="G82" s="688"/>
      <c r="H82" s="688"/>
      <c r="I82" s="688"/>
      <c r="J82" s="688"/>
      <c r="K82" s="688"/>
      <c r="L82" s="688"/>
      <c r="M82" s="688"/>
      <c r="N82" s="688"/>
      <c r="O82" s="688"/>
      <c r="P82" s="688"/>
      <c r="Q82" s="688" t="e">
        <f>Q77</f>
        <v>#REF!</v>
      </c>
      <c r="R82" s="689" t="e">
        <f t="shared" si="26"/>
        <v>#REF!</v>
      </c>
    </row>
    <row r="83" spans="1:18" s="666" customFormat="1" ht="24" outlineLevel="1">
      <c r="A83" s="722" t="s">
        <v>252</v>
      </c>
      <c r="B83" s="675"/>
      <c r="C83" s="676"/>
      <c r="D83" s="676"/>
      <c r="E83" s="677"/>
      <c r="F83" s="672"/>
      <c r="G83" s="673"/>
      <c r="H83" s="673"/>
      <c r="I83" s="673"/>
      <c r="J83" s="673"/>
      <c r="K83" s="673"/>
      <c r="L83" s="673"/>
      <c r="M83" s="673"/>
      <c r="N83" s="673"/>
      <c r="O83" s="673"/>
      <c r="P83" s="673"/>
      <c r="Q83" s="673"/>
      <c r="R83" s="674">
        <f t="shared" si="26"/>
        <v>0</v>
      </c>
    </row>
    <row r="84" spans="1:18" s="666" customFormat="1" outlineLevel="1">
      <c r="A84" s="722" t="s">
        <v>253</v>
      </c>
      <c r="B84" s="675"/>
      <c r="C84" s="676"/>
      <c r="D84" s="676"/>
      <c r="E84" s="677"/>
      <c r="F84" s="672"/>
      <c r="G84" s="673"/>
      <c r="H84" s="673"/>
      <c r="I84" s="673"/>
      <c r="J84" s="673"/>
      <c r="K84" s="673"/>
      <c r="L84" s="673"/>
      <c r="M84" s="673"/>
      <c r="N84" s="673"/>
      <c r="O84" s="673"/>
      <c r="P84" s="673"/>
      <c r="Q84" s="673"/>
      <c r="R84" s="674">
        <f t="shared" si="26"/>
        <v>0</v>
      </c>
    </row>
    <row r="85" spans="1:18" s="666" customFormat="1" outlineLevel="1">
      <c r="A85" s="722" t="s">
        <v>254</v>
      </c>
      <c r="B85" s="675"/>
      <c r="C85" s="676"/>
      <c r="D85" s="676"/>
      <c r="E85" s="677"/>
      <c r="F85" s="672"/>
      <c r="G85" s="673"/>
      <c r="H85" s="673"/>
      <c r="I85" s="673"/>
      <c r="J85" s="673"/>
      <c r="K85" s="673"/>
      <c r="L85" s="673"/>
      <c r="M85" s="673"/>
      <c r="N85" s="673"/>
      <c r="O85" s="673"/>
      <c r="P85" s="673"/>
      <c r="Q85" s="673"/>
      <c r="R85" s="674">
        <f t="shared" si="26"/>
        <v>0</v>
      </c>
    </row>
    <row r="86" spans="1:18" s="666" customFormat="1" outlineLevel="1">
      <c r="A86" s="722" t="s">
        <v>255</v>
      </c>
      <c r="B86" s="675"/>
      <c r="C86" s="676"/>
      <c r="D86" s="676"/>
      <c r="E86" s="677"/>
      <c r="F86" s="672"/>
      <c r="G86" s="673"/>
      <c r="H86" s="673"/>
      <c r="I86" s="673"/>
      <c r="J86" s="673"/>
      <c r="K86" s="673"/>
      <c r="L86" s="673"/>
      <c r="M86" s="673"/>
      <c r="N86" s="673"/>
      <c r="O86" s="673"/>
      <c r="P86" s="673"/>
      <c r="Q86" s="673"/>
      <c r="R86" s="674">
        <f t="shared" si="26"/>
        <v>0</v>
      </c>
    </row>
    <row r="87" spans="1:18" s="666" customFormat="1" outlineLevel="1">
      <c r="A87" s="725" t="s">
        <v>256</v>
      </c>
      <c r="B87" s="694"/>
      <c r="C87" s="695"/>
      <c r="D87" s="696"/>
      <c r="E87" s="697"/>
      <c r="F87" s="698" t="e">
        <f t="shared" ref="F87:Q87" si="27">(F77+G77)/2*F$4</f>
        <v>#REF!</v>
      </c>
      <c r="G87" s="698" t="e">
        <f t="shared" si="27"/>
        <v>#REF!</v>
      </c>
      <c r="H87" s="698" t="e">
        <f t="shared" si="27"/>
        <v>#REF!</v>
      </c>
      <c r="I87" s="698" t="e">
        <f t="shared" si="27"/>
        <v>#REF!</v>
      </c>
      <c r="J87" s="698" t="e">
        <f t="shared" si="27"/>
        <v>#REF!</v>
      </c>
      <c r="K87" s="698" t="e">
        <f t="shared" si="27"/>
        <v>#REF!</v>
      </c>
      <c r="L87" s="698" t="e">
        <f t="shared" si="27"/>
        <v>#REF!</v>
      </c>
      <c r="M87" s="698" t="e">
        <f t="shared" si="27"/>
        <v>#REF!</v>
      </c>
      <c r="N87" s="698" t="e">
        <f t="shared" si="27"/>
        <v>#REF!</v>
      </c>
      <c r="O87" s="698" t="e">
        <f t="shared" si="27"/>
        <v>#REF!</v>
      </c>
      <c r="P87" s="698" t="e">
        <f t="shared" si="27"/>
        <v>#REF!</v>
      </c>
      <c r="Q87" s="698" t="e">
        <f t="shared" si="27"/>
        <v>#REF!</v>
      </c>
      <c r="R87" s="699" t="e">
        <f t="shared" si="26"/>
        <v>#REF!</v>
      </c>
    </row>
    <row r="88" spans="1:18" s="666" customFormat="1" ht="12.75" outlineLevel="1" thickBot="1">
      <c r="A88" s="700" t="s">
        <v>257</v>
      </c>
      <c r="B88" s="701"/>
      <c r="C88" s="701"/>
      <c r="D88" s="702"/>
      <c r="E88" s="703"/>
      <c r="F88" s="704" t="e">
        <f t="shared" ref="F88:Q88" si="28">F87/F$4</f>
        <v>#REF!</v>
      </c>
      <c r="G88" s="705" t="e">
        <f t="shared" si="28"/>
        <v>#REF!</v>
      </c>
      <c r="H88" s="705" t="e">
        <f t="shared" si="28"/>
        <v>#REF!</v>
      </c>
      <c r="I88" s="705" t="e">
        <f t="shared" si="28"/>
        <v>#REF!</v>
      </c>
      <c r="J88" s="705" t="e">
        <f t="shared" si="28"/>
        <v>#REF!</v>
      </c>
      <c r="K88" s="705" t="e">
        <f t="shared" si="28"/>
        <v>#REF!</v>
      </c>
      <c r="L88" s="705" t="e">
        <f t="shared" si="28"/>
        <v>#REF!</v>
      </c>
      <c r="M88" s="705" t="e">
        <f t="shared" si="28"/>
        <v>#REF!</v>
      </c>
      <c r="N88" s="705" t="e">
        <f t="shared" si="28"/>
        <v>#REF!</v>
      </c>
      <c r="O88" s="705" t="e">
        <f t="shared" si="28"/>
        <v>#REF!</v>
      </c>
      <c r="P88" s="705" t="e">
        <f t="shared" si="28"/>
        <v>#REF!</v>
      </c>
      <c r="Q88" s="705" t="e">
        <f t="shared" si="28"/>
        <v>#REF!</v>
      </c>
      <c r="R88" s="706" t="e">
        <f>R87/R$4</f>
        <v>#REF!</v>
      </c>
    </row>
    <row r="89" spans="1:18" s="641" customFormat="1" ht="12.75" thickBot="1">
      <c r="A89" s="650" t="s">
        <v>265</v>
      </c>
      <c r="B89" s="651"/>
      <c r="C89" s="651"/>
      <c r="D89" s="652"/>
      <c r="E89" s="652"/>
      <c r="F89" s="651"/>
      <c r="G89" s="651"/>
      <c r="H89" s="651"/>
      <c r="I89" s="651"/>
      <c r="J89" s="651"/>
      <c r="K89" s="651"/>
      <c r="L89" s="651"/>
      <c r="M89" s="651"/>
      <c r="N89" s="651"/>
      <c r="O89" s="651"/>
      <c r="P89" s="651"/>
      <c r="Q89" s="651"/>
      <c r="R89" s="653"/>
    </row>
    <row r="90" spans="1:18" s="641" customFormat="1" ht="12.75" outlineLevel="1" thickBot="1">
      <c r="A90" s="654" t="s">
        <v>245</v>
      </c>
      <c r="B90" s="655"/>
      <c r="C90" s="655"/>
      <c r="D90" s="656"/>
      <c r="E90" s="657"/>
      <c r="F90" s="655"/>
      <c r="G90" s="655"/>
      <c r="H90" s="655"/>
      <c r="I90" s="655"/>
      <c r="J90" s="655"/>
      <c r="K90" s="655"/>
      <c r="L90" s="655"/>
      <c r="M90" s="655"/>
      <c r="N90" s="655"/>
      <c r="O90" s="655"/>
      <c r="P90" s="655"/>
      <c r="Q90" s="655"/>
      <c r="R90" s="658"/>
    </row>
    <row r="91" spans="1:18" s="666" customFormat="1" outlineLevel="1">
      <c r="A91" s="659" t="s">
        <v>259</v>
      </c>
      <c r="B91" s="707" t="e">
        <f>'КРМД-25'!R91</f>
        <v>#REF!</v>
      </c>
      <c r="C91" s="660" t="e">
        <f>B91</f>
        <v>#REF!</v>
      </c>
      <c r="D91" s="708" t="e">
        <f>+B91*0.27</f>
        <v>#REF!</v>
      </c>
      <c r="E91" s="662" t="e">
        <f>B91*45</f>
        <v>#REF!</v>
      </c>
      <c r="F91" s="663" t="e">
        <f>B91</f>
        <v>#REF!</v>
      </c>
      <c r="G91" s="709" t="e">
        <f t="shared" ref="G91:Q91" si="29">(F91+F92+F93+F94-F96-F97-F98-F99-F100)</f>
        <v>#REF!</v>
      </c>
      <c r="H91" s="709" t="e">
        <f t="shared" si="29"/>
        <v>#REF!</v>
      </c>
      <c r="I91" s="709" t="e">
        <f t="shared" si="29"/>
        <v>#REF!</v>
      </c>
      <c r="J91" s="709" t="e">
        <f t="shared" si="29"/>
        <v>#REF!</v>
      </c>
      <c r="K91" s="709" t="e">
        <f t="shared" si="29"/>
        <v>#REF!</v>
      </c>
      <c r="L91" s="709" t="e">
        <f t="shared" si="29"/>
        <v>#REF!</v>
      </c>
      <c r="M91" s="709" t="e">
        <f t="shared" si="29"/>
        <v>#REF!</v>
      </c>
      <c r="N91" s="709" t="e">
        <f t="shared" si="29"/>
        <v>#REF!</v>
      </c>
      <c r="O91" s="709" t="e">
        <f t="shared" si="29"/>
        <v>#REF!</v>
      </c>
      <c r="P91" s="709" t="e">
        <f t="shared" si="29"/>
        <v>#REF!</v>
      </c>
      <c r="Q91" s="664" t="e">
        <f t="shared" si="29"/>
        <v>#REF!</v>
      </c>
      <c r="R91" s="665" t="e">
        <f>(Q91+Q92+Q93+Q94-Q96-Q97-Q98-Q99-Q100)</f>
        <v>#REF!</v>
      </c>
    </row>
    <row r="92" spans="1:18" s="666" customFormat="1" outlineLevel="1">
      <c r="A92" s="710" t="s">
        <v>247</v>
      </c>
      <c r="B92" s="668"/>
      <c r="C92" s="669"/>
      <c r="D92" s="670"/>
      <c r="E92" s="671"/>
      <c r="F92" s="711">
        <f>F110</f>
        <v>0</v>
      </c>
      <c r="G92" s="712">
        <f>G110</f>
        <v>0</v>
      </c>
      <c r="H92" s="712">
        <f t="shared" ref="H92:Q92" si="30">H110</f>
        <v>0</v>
      </c>
      <c r="I92" s="712">
        <f t="shared" si="30"/>
        <v>0</v>
      </c>
      <c r="J92" s="712">
        <f t="shared" si="30"/>
        <v>0</v>
      </c>
      <c r="K92" s="712">
        <f t="shared" si="30"/>
        <v>0</v>
      </c>
      <c r="L92" s="712">
        <f t="shared" si="30"/>
        <v>0</v>
      </c>
      <c r="M92" s="712">
        <f t="shared" si="30"/>
        <v>0</v>
      </c>
      <c r="N92" s="712">
        <f t="shared" si="30"/>
        <v>0</v>
      </c>
      <c r="O92" s="712">
        <f t="shared" si="30"/>
        <v>0</v>
      </c>
      <c r="P92" s="712">
        <f t="shared" si="30"/>
        <v>0</v>
      </c>
      <c r="Q92" s="713" t="e">
        <f t="shared" si="30"/>
        <v>#REF!</v>
      </c>
      <c r="R92" s="674" t="e">
        <f t="shared" ref="R92:R101" si="31">SUM(F92:Q92)</f>
        <v>#REF!</v>
      </c>
    </row>
    <row r="93" spans="1:18" s="666" customFormat="1" outlineLevel="1">
      <c r="A93" s="710" t="s">
        <v>248</v>
      </c>
      <c r="B93" s="675"/>
      <c r="C93" s="676"/>
      <c r="D93" s="676"/>
      <c r="E93" s="677"/>
      <c r="F93" s="672"/>
      <c r="G93" s="688"/>
      <c r="H93" s="688"/>
      <c r="I93" s="688"/>
      <c r="J93" s="688"/>
      <c r="K93" s="688"/>
      <c r="L93" s="688"/>
      <c r="M93" s="688"/>
      <c r="N93" s="688"/>
      <c r="O93" s="688"/>
      <c r="P93" s="688"/>
      <c r="Q93" s="673"/>
      <c r="R93" s="674">
        <f t="shared" si="31"/>
        <v>0</v>
      </c>
    </row>
    <row r="94" spans="1:18" s="666" customFormat="1" ht="12.75" outlineLevel="1" thickBot="1">
      <c r="A94" s="714" t="s">
        <v>249</v>
      </c>
      <c r="B94" s="675"/>
      <c r="C94" s="676"/>
      <c r="D94" s="676"/>
      <c r="E94" s="677"/>
      <c r="F94" s="679"/>
      <c r="G94" s="680"/>
      <c r="H94" s="680"/>
      <c r="I94" s="680"/>
      <c r="J94" s="680"/>
      <c r="K94" s="680"/>
      <c r="L94" s="680"/>
      <c r="M94" s="680"/>
      <c r="N94" s="680"/>
      <c r="O94" s="680"/>
      <c r="P94" s="680"/>
      <c r="Q94" s="680"/>
      <c r="R94" s="681">
        <f t="shared" si="31"/>
        <v>0</v>
      </c>
    </row>
    <row r="95" spans="1:18" s="641" customFormat="1" ht="12.75" outlineLevel="1" thickBot="1">
      <c r="A95" s="715" t="s">
        <v>250</v>
      </c>
      <c r="B95" s="675"/>
      <c r="C95" s="676"/>
      <c r="D95" s="676"/>
      <c r="E95" s="677"/>
      <c r="F95" s="683"/>
      <c r="G95" s="655"/>
      <c r="H95" s="655"/>
      <c r="I95" s="655"/>
      <c r="J95" s="655"/>
      <c r="K95" s="655"/>
      <c r="L95" s="655"/>
      <c r="M95" s="655"/>
      <c r="N95" s="655"/>
      <c r="O95" s="655"/>
      <c r="P95" s="655"/>
      <c r="Q95" s="655"/>
      <c r="R95" s="684">
        <f t="shared" si="31"/>
        <v>0</v>
      </c>
    </row>
    <row r="96" spans="1:18" s="666" customFormat="1" outlineLevel="1">
      <c r="A96" s="718" t="s">
        <v>251</v>
      </c>
      <c r="B96" s="675"/>
      <c r="C96" s="676"/>
      <c r="D96" s="676"/>
      <c r="E96" s="677"/>
      <c r="F96" s="744"/>
      <c r="G96" s="688"/>
      <c r="H96" s="688"/>
      <c r="I96" s="688"/>
      <c r="J96" s="688"/>
      <c r="K96" s="688"/>
      <c r="L96" s="688"/>
      <c r="M96" s="688"/>
      <c r="N96" s="688"/>
      <c r="O96" s="688"/>
      <c r="P96" s="688"/>
      <c r="Q96" s="688" t="e">
        <f>Q91</f>
        <v>#REF!</v>
      </c>
      <c r="R96" s="689" t="e">
        <f t="shared" si="31"/>
        <v>#REF!</v>
      </c>
    </row>
    <row r="97" spans="1:18" s="666" customFormat="1" ht="24" outlineLevel="1">
      <c r="A97" s="722" t="s">
        <v>252</v>
      </c>
      <c r="B97" s="675"/>
      <c r="C97" s="676"/>
      <c r="D97" s="676"/>
      <c r="E97" s="677"/>
      <c r="F97" s="672"/>
      <c r="G97" s="673"/>
      <c r="H97" s="673"/>
      <c r="I97" s="673"/>
      <c r="J97" s="673"/>
      <c r="K97" s="673"/>
      <c r="L97" s="673"/>
      <c r="M97" s="673"/>
      <c r="N97" s="673"/>
      <c r="O97" s="673"/>
      <c r="P97" s="673"/>
      <c r="Q97" s="673"/>
      <c r="R97" s="674">
        <f t="shared" si="31"/>
        <v>0</v>
      </c>
    </row>
    <row r="98" spans="1:18" s="666" customFormat="1" outlineLevel="1">
      <c r="A98" s="722" t="s">
        <v>253</v>
      </c>
      <c r="B98" s="675"/>
      <c r="C98" s="676"/>
      <c r="D98" s="676"/>
      <c r="E98" s="677"/>
      <c r="F98" s="672"/>
      <c r="G98" s="673"/>
      <c r="H98" s="673"/>
      <c r="I98" s="673"/>
      <c r="J98" s="673"/>
      <c r="K98" s="673"/>
      <c r="L98" s="673"/>
      <c r="M98" s="673"/>
      <c r="N98" s="673"/>
      <c r="O98" s="673"/>
      <c r="P98" s="673"/>
      <c r="Q98" s="673"/>
      <c r="R98" s="674">
        <f t="shared" si="31"/>
        <v>0</v>
      </c>
    </row>
    <row r="99" spans="1:18" s="666" customFormat="1" outlineLevel="1">
      <c r="A99" s="722" t="s">
        <v>254</v>
      </c>
      <c r="B99" s="675"/>
      <c r="C99" s="676"/>
      <c r="D99" s="676"/>
      <c r="E99" s="677"/>
      <c r="F99" s="672"/>
      <c r="G99" s="673"/>
      <c r="H99" s="673"/>
      <c r="I99" s="673"/>
      <c r="J99" s="673"/>
      <c r="K99" s="673"/>
      <c r="L99" s="673"/>
      <c r="M99" s="673"/>
      <c r="N99" s="673"/>
      <c r="O99" s="673"/>
      <c r="P99" s="673"/>
      <c r="Q99" s="673"/>
      <c r="R99" s="674">
        <f t="shared" si="31"/>
        <v>0</v>
      </c>
    </row>
    <row r="100" spans="1:18" s="666" customFormat="1" outlineLevel="1">
      <c r="A100" s="722" t="s">
        <v>255</v>
      </c>
      <c r="B100" s="675"/>
      <c r="C100" s="676"/>
      <c r="D100" s="676"/>
      <c r="E100" s="677"/>
      <c r="F100" s="672"/>
      <c r="G100" s="673"/>
      <c r="H100" s="673"/>
      <c r="I100" s="673"/>
      <c r="J100" s="673"/>
      <c r="K100" s="673"/>
      <c r="L100" s="673"/>
      <c r="M100" s="673"/>
      <c r="N100" s="673"/>
      <c r="O100" s="673"/>
      <c r="P100" s="673"/>
      <c r="Q100" s="673"/>
      <c r="R100" s="674">
        <f t="shared" si="31"/>
        <v>0</v>
      </c>
    </row>
    <row r="101" spans="1:18" s="666" customFormat="1" outlineLevel="1">
      <c r="A101" s="725" t="s">
        <v>256</v>
      </c>
      <c r="B101" s="694"/>
      <c r="C101" s="695"/>
      <c r="D101" s="696"/>
      <c r="E101" s="697"/>
      <c r="F101" s="698" t="e">
        <f t="shared" ref="F101:Q101" si="32">(F91+G91)/2*F$4</f>
        <v>#REF!</v>
      </c>
      <c r="G101" s="698" t="e">
        <f t="shared" si="32"/>
        <v>#REF!</v>
      </c>
      <c r="H101" s="698" t="e">
        <f t="shared" si="32"/>
        <v>#REF!</v>
      </c>
      <c r="I101" s="698" t="e">
        <f t="shared" si="32"/>
        <v>#REF!</v>
      </c>
      <c r="J101" s="698" t="e">
        <f t="shared" si="32"/>
        <v>#REF!</v>
      </c>
      <c r="K101" s="698" t="e">
        <f t="shared" si="32"/>
        <v>#REF!</v>
      </c>
      <c r="L101" s="698" t="e">
        <f t="shared" si="32"/>
        <v>#REF!</v>
      </c>
      <c r="M101" s="698" t="e">
        <f t="shared" si="32"/>
        <v>#REF!</v>
      </c>
      <c r="N101" s="698" t="e">
        <f t="shared" si="32"/>
        <v>#REF!</v>
      </c>
      <c r="O101" s="698" t="e">
        <f t="shared" si="32"/>
        <v>#REF!</v>
      </c>
      <c r="P101" s="698" t="e">
        <f t="shared" si="32"/>
        <v>#REF!</v>
      </c>
      <c r="Q101" s="698" t="e">
        <f t="shared" si="32"/>
        <v>#REF!</v>
      </c>
      <c r="R101" s="699" t="e">
        <f t="shared" si="31"/>
        <v>#REF!</v>
      </c>
    </row>
    <row r="102" spans="1:18" s="666" customFormat="1" ht="12.75" outlineLevel="1" thickBot="1">
      <c r="A102" s="700" t="s">
        <v>257</v>
      </c>
      <c r="B102" s="701"/>
      <c r="C102" s="701"/>
      <c r="D102" s="702"/>
      <c r="E102" s="703"/>
      <c r="F102" s="704" t="e">
        <f t="shared" ref="F102:Q102" si="33">F101/F$4</f>
        <v>#REF!</v>
      </c>
      <c r="G102" s="705" t="e">
        <f t="shared" si="33"/>
        <v>#REF!</v>
      </c>
      <c r="H102" s="705" t="e">
        <f t="shared" si="33"/>
        <v>#REF!</v>
      </c>
      <c r="I102" s="705" t="e">
        <f t="shared" si="33"/>
        <v>#REF!</v>
      </c>
      <c r="J102" s="705" t="e">
        <f t="shared" si="33"/>
        <v>#REF!</v>
      </c>
      <c r="K102" s="705" t="e">
        <f t="shared" si="33"/>
        <v>#REF!</v>
      </c>
      <c r="L102" s="705" t="e">
        <f t="shared" si="33"/>
        <v>#REF!</v>
      </c>
      <c r="M102" s="705" t="e">
        <f t="shared" si="33"/>
        <v>#REF!</v>
      </c>
      <c r="N102" s="705" t="e">
        <f t="shared" si="33"/>
        <v>#REF!</v>
      </c>
      <c r="O102" s="705" t="e">
        <f t="shared" si="33"/>
        <v>#REF!</v>
      </c>
      <c r="P102" s="705" t="e">
        <f t="shared" si="33"/>
        <v>#REF!</v>
      </c>
      <c r="Q102" s="705" t="e">
        <f t="shared" si="33"/>
        <v>#REF!</v>
      </c>
      <c r="R102" s="706" t="e">
        <f>R101/R$4</f>
        <v>#REF!</v>
      </c>
    </row>
    <row r="103" spans="1:18" s="641" customFormat="1" ht="12.75" thickBot="1">
      <c r="A103" s="650" t="s">
        <v>266</v>
      </c>
      <c r="B103" s="651"/>
      <c r="C103" s="651"/>
      <c r="D103" s="652"/>
      <c r="E103" s="652"/>
      <c r="F103" s="651"/>
      <c r="G103" s="651"/>
      <c r="H103" s="651"/>
      <c r="I103" s="651"/>
      <c r="J103" s="651"/>
      <c r="K103" s="651"/>
      <c r="L103" s="651"/>
      <c r="M103" s="651"/>
      <c r="N103" s="651"/>
      <c r="O103" s="651"/>
      <c r="P103" s="651"/>
      <c r="Q103" s="651"/>
      <c r="R103" s="653"/>
    </row>
    <row r="104" spans="1:18" s="641" customFormat="1" ht="12.75" outlineLevel="1" thickBot="1">
      <c r="A104" s="654" t="s">
        <v>245</v>
      </c>
      <c r="B104" s="655"/>
      <c r="C104" s="655"/>
      <c r="D104" s="656"/>
      <c r="E104" s="657"/>
      <c r="F104" s="655"/>
      <c r="G104" s="655"/>
      <c r="H104" s="655"/>
      <c r="I104" s="655"/>
      <c r="J104" s="655"/>
      <c r="K104" s="655"/>
      <c r="L104" s="655"/>
      <c r="M104" s="655"/>
      <c r="N104" s="655"/>
      <c r="O104" s="655"/>
      <c r="P104" s="655"/>
      <c r="Q104" s="655"/>
      <c r="R104" s="658"/>
    </row>
    <row r="105" spans="1:18" s="666" customFormat="1" outlineLevel="1">
      <c r="A105" s="659" t="s">
        <v>259</v>
      </c>
      <c r="B105" s="707" t="e">
        <f>'КРМД-25'!R105</f>
        <v>#REF!</v>
      </c>
      <c r="C105" s="660" t="e">
        <f>B105</f>
        <v>#REF!</v>
      </c>
      <c r="D105" s="708" t="e">
        <f>+B105*0.18</f>
        <v>#REF!</v>
      </c>
      <c r="E105" s="662" t="e">
        <f>B105*45</f>
        <v>#REF!</v>
      </c>
      <c r="F105" s="663" t="e">
        <f>B105</f>
        <v>#REF!</v>
      </c>
      <c r="G105" s="709" t="e">
        <f t="shared" ref="G105:Q105" si="34">(F105+F106+F107+F108-F110-F111-F112-F113-F114)</f>
        <v>#REF!</v>
      </c>
      <c r="H105" s="709" t="e">
        <f t="shared" si="34"/>
        <v>#REF!</v>
      </c>
      <c r="I105" s="709" t="e">
        <f t="shared" si="34"/>
        <v>#REF!</v>
      </c>
      <c r="J105" s="709" t="e">
        <f t="shared" si="34"/>
        <v>#REF!</v>
      </c>
      <c r="K105" s="709" t="e">
        <f t="shared" si="34"/>
        <v>#REF!</v>
      </c>
      <c r="L105" s="709" t="e">
        <f t="shared" si="34"/>
        <v>#REF!</v>
      </c>
      <c r="M105" s="709" t="e">
        <f t="shared" si="34"/>
        <v>#REF!</v>
      </c>
      <c r="N105" s="709" t="e">
        <f t="shared" si="34"/>
        <v>#REF!</v>
      </c>
      <c r="O105" s="709" t="e">
        <f t="shared" si="34"/>
        <v>#REF!</v>
      </c>
      <c r="P105" s="709" t="e">
        <f t="shared" si="34"/>
        <v>#REF!</v>
      </c>
      <c r="Q105" s="664" t="e">
        <f t="shared" si="34"/>
        <v>#REF!</v>
      </c>
      <c r="R105" s="665" t="e">
        <f>(Q105+Q106+Q107+Q108-Q110-Q111-Q112-Q113-Q114)</f>
        <v>#REF!</v>
      </c>
    </row>
    <row r="106" spans="1:18" s="666" customFormat="1" outlineLevel="1">
      <c r="A106" s="710" t="s">
        <v>247</v>
      </c>
      <c r="B106" s="668"/>
      <c r="C106" s="669"/>
      <c r="D106" s="670"/>
      <c r="E106" s="671"/>
      <c r="F106" s="711">
        <f t="shared" ref="F106:Q106" si="35">F166</f>
        <v>0</v>
      </c>
      <c r="G106" s="712">
        <f t="shared" si="35"/>
        <v>0</v>
      </c>
      <c r="H106" s="712">
        <f t="shared" si="35"/>
        <v>0</v>
      </c>
      <c r="I106" s="712">
        <f t="shared" si="35"/>
        <v>0</v>
      </c>
      <c r="J106" s="712">
        <f t="shared" si="35"/>
        <v>0</v>
      </c>
      <c r="K106" s="712">
        <f t="shared" si="35"/>
        <v>0</v>
      </c>
      <c r="L106" s="712">
        <f t="shared" si="35"/>
        <v>0</v>
      </c>
      <c r="M106" s="712">
        <f t="shared" si="35"/>
        <v>0</v>
      </c>
      <c r="N106" s="712">
        <f t="shared" si="35"/>
        <v>0</v>
      </c>
      <c r="O106" s="712">
        <f t="shared" si="35"/>
        <v>0</v>
      </c>
      <c r="P106" s="712">
        <f t="shared" si="35"/>
        <v>0</v>
      </c>
      <c r="Q106" s="713" t="e">
        <f t="shared" si="35"/>
        <v>#REF!</v>
      </c>
      <c r="R106" s="674" t="e">
        <f t="shared" ref="R106:R115" si="36">SUM(F106:Q106)</f>
        <v>#REF!</v>
      </c>
    </row>
    <row r="107" spans="1:18" s="666" customFormat="1" outlineLevel="1">
      <c r="A107" s="710" t="s">
        <v>248</v>
      </c>
      <c r="B107" s="675"/>
      <c r="C107" s="676"/>
      <c r="D107" s="676"/>
      <c r="E107" s="677"/>
      <c r="F107" s="672"/>
      <c r="G107" s="688"/>
      <c r="H107" s="688"/>
      <c r="I107" s="688"/>
      <c r="J107" s="688"/>
      <c r="K107" s="688"/>
      <c r="L107" s="688"/>
      <c r="M107" s="688"/>
      <c r="N107" s="688"/>
      <c r="O107" s="688"/>
      <c r="P107" s="688"/>
      <c r="Q107" s="673"/>
      <c r="R107" s="674">
        <f t="shared" si="36"/>
        <v>0</v>
      </c>
    </row>
    <row r="108" spans="1:18" s="666" customFormat="1" ht="12.75" outlineLevel="1" thickBot="1">
      <c r="A108" s="714" t="s">
        <v>249</v>
      </c>
      <c r="B108" s="675"/>
      <c r="C108" s="676"/>
      <c r="D108" s="676"/>
      <c r="E108" s="677"/>
      <c r="F108" s="679"/>
      <c r="G108" s="680"/>
      <c r="H108" s="680"/>
      <c r="I108" s="680"/>
      <c r="J108" s="680"/>
      <c r="K108" s="680"/>
      <c r="L108" s="680"/>
      <c r="M108" s="680"/>
      <c r="N108" s="680"/>
      <c r="O108" s="680"/>
      <c r="P108" s="680"/>
      <c r="Q108" s="680"/>
      <c r="R108" s="681">
        <f t="shared" si="36"/>
        <v>0</v>
      </c>
    </row>
    <row r="109" spans="1:18" s="641" customFormat="1" ht="12.75" outlineLevel="1" thickBot="1">
      <c r="A109" s="715" t="s">
        <v>250</v>
      </c>
      <c r="B109" s="675"/>
      <c r="C109" s="676"/>
      <c r="D109" s="676"/>
      <c r="E109" s="677"/>
      <c r="F109" s="683"/>
      <c r="G109" s="655"/>
      <c r="H109" s="655"/>
      <c r="I109" s="655"/>
      <c r="J109" s="655"/>
      <c r="K109" s="655"/>
      <c r="L109" s="655"/>
      <c r="M109" s="655"/>
      <c r="N109" s="655"/>
      <c r="O109" s="655"/>
      <c r="P109" s="655"/>
      <c r="Q109" s="655"/>
      <c r="R109" s="684">
        <f t="shared" si="36"/>
        <v>0</v>
      </c>
    </row>
    <row r="110" spans="1:18" s="666" customFormat="1" outlineLevel="1">
      <c r="A110" s="718" t="s">
        <v>251</v>
      </c>
      <c r="B110" s="675"/>
      <c r="C110" s="676"/>
      <c r="D110" s="676"/>
      <c r="E110" s="677"/>
      <c r="F110" s="744"/>
      <c r="G110" s="688"/>
      <c r="H110" s="688"/>
      <c r="I110" s="688"/>
      <c r="J110" s="688"/>
      <c r="K110" s="688"/>
      <c r="L110" s="688"/>
      <c r="M110" s="688"/>
      <c r="N110" s="688"/>
      <c r="O110" s="688"/>
      <c r="P110" s="688"/>
      <c r="Q110" s="688" t="e">
        <f>Q105</f>
        <v>#REF!</v>
      </c>
      <c r="R110" s="689" t="e">
        <f t="shared" si="36"/>
        <v>#REF!</v>
      </c>
    </row>
    <row r="111" spans="1:18" s="666" customFormat="1" ht="22.5" customHeight="1" outlineLevel="1">
      <c r="A111" s="722" t="s">
        <v>252</v>
      </c>
      <c r="B111" s="675"/>
      <c r="C111" s="676"/>
      <c r="D111" s="676"/>
      <c r="E111" s="677"/>
      <c r="F111" s="672"/>
      <c r="G111" s="673"/>
      <c r="H111" s="673"/>
      <c r="I111" s="673"/>
      <c r="J111" s="673"/>
      <c r="K111" s="673"/>
      <c r="L111" s="673"/>
      <c r="M111" s="673"/>
      <c r="N111" s="673"/>
      <c r="O111" s="673"/>
      <c r="P111" s="673"/>
      <c r="Q111" s="673"/>
      <c r="R111" s="674">
        <f t="shared" si="36"/>
        <v>0</v>
      </c>
    </row>
    <row r="112" spans="1:18" s="666" customFormat="1" outlineLevel="1">
      <c r="A112" s="722" t="s">
        <v>253</v>
      </c>
      <c r="B112" s="675"/>
      <c r="C112" s="676"/>
      <c r="D112" s="676"/>
      <c r="E112" s="677"/>
      <c r="F112" s="672"/>
      <c r="G112" s="673"/>
      <c r="H112" s="673"/>
      <c r="I112" s="673"/>
      <c r="J112" s="673"/>
      <c r="K112" s="673"/>
      <c r="L112" s="673"/>
      <c r="M112" s="673"/>
      <c r="N112" s="673"/>
      <c r="O112" s="673"/>
      <c r="P112" s="673"/>
      <c r="Q112" s="673"/>
      <c r="R112" s="674">
        <f t="shared" si="36"/>
        <v>0</v>
      </c>
    </row>
    <row r="113" spans="1:18" s="666" customFormat="1" outlineLevel="1">
      <c r="A113" s="722" t="s">
        <v>254</v>
      </c>
      <c r="B113" s="675"/>
      <c r="C113" s="676"/>
      <c r="D113" s="676"/>
      <c r="E113" s="677"/>
      <c r="F113" s="672"/>
      <c r="G113" s="673"/>
      <c r="H113" s="673"/>
      <c r="I113" s="673"/>
      <c r="J113" s="673"/>
      <c r="K113" s="673"/>
      <c r="L113" s="673"/>
      <c r="M113" s="673"/>
      <c r="N113" s="673"/>
      <c r="O113" s="673"/>
      <c r="P113" s="673"/>
      <c r="Q113" s="673"/>
      <c r="R113" s="674">
        <f t="shared" si="36"/>
        <v>0</v>
      </c>
    </row>
    <row r="114" spans="1:18" s="666" customFormat="1" outlineLevel="1">
      <c r="A114" s="722" t="s">
        <v>255</v>
      </c>
      <c r="B114" s="675"/>
      <c r="C114" s="676"/>
      <c r="D114" s="676"/>
      <c r="E114" s="677"/>
      <c r="F114" s="672"/>
      <c r="G114" s="673"/>
      <c r="H114" s="673"/>
      <c r="I114" s="673"/>
      <c r="J114" s="673"/>
      <c r="K114" s="673"/>
      <c r="L114" s="673"/>
      <c r="M114" s="673"/>
      <c r="N114" s="673"/>
      <c r="O114" s="673"/>
      <c r="P114" s="673"/>
      <c r="Q114" s="673"/>
      <c r="R114" s="674">
        <f t="shared" si="36"/>
        <v>0</v>
      </c>
    </row>
    <row r="115" spans="1:18" s="666" customFormat="1" outlineLevel="1">
      <c r="A115" s="725" t="s">
        <v>256</v>
      </c>
      <c r="B115" s="694"/>
      <c r="C115" s="695"/>
      <c r="D115" s="696"/>
      <c r="E115" s="697"/>
      <c r="F115" s="698" t="e">
        <f t="shared" ref="F115:Q115" si="37">(F105+G105)/2*F$4</f>
        <v>#REF!</v>
      </c>
      <c r="G115" s="698" t="e">
        <f t="shared" si="37"/>
        <v>#REF!</v>
      </c>
      <c r="H115" s="698" t="e">
        <f t="shared" si="37"/>
        <v>#REF!</v>
      </c>
      <c r="I115" s="698" t="e">
        <f t="shared" si="37"/>
        <v>#REF!</v>
      </c>
      <c r="J115" s="698" t="e">
        <f t="shared" si="37"/>
        <v>#REF!</v>
      </c>
      <c r="K115" s="698" t="e">
        <f t="shared" si="37"/>
        <v>#REF!</v>
      </c>
      <c r="L115" s="698" t="e">
        <f t="shared" si="37"/>
        <v>#REF!</v>
      </c>
      <c r="M115" s="698" t="e">
        <f t="shared" si="37"/>
        <v>#REF!</v>
      </c>
      <c r="N115" s="698" t="e">
        <f t="shared" si="37"/>
        <v>#REF!</v>
      </c>
      <c r="O115" s="698" t="e">
        <f t="shared" si="37"/>
        <v>#REF!</v>
      </c>
      <c r="P115" s="698" t="e">
        <f t="shared" si="37"/>
        <v>#REF!</v>
      </c>
      <c r="Q115" s="698" t="e">
        <f t="shared" si="37"/>
        <v>#REF!</v>
      </c>
      <c r="R115" s="699" t="e">
        <f t="shared" si="36"/>
        <v>#REF!</v>
      </c>
    </row>
    <row r="116" spans="1:18" s="666" customFormat="1" ht="12.75" outlineLevel="1" thickBot="1">
      <c r="A116" s="700" t="s">
        <v>257</v>
      </c>
      <c r="B116" s="701"/>
      <c r="C116" s="701"/>
      <c r="D116" s="702"/>
      <c r="E116" s="703"/>
      <c r="F116" s="704" t="e">
        <f t="shared" ref="F116:Q116" si="38">F115/F$4</f>
        <v>#REF!</v>
      </c>
      <c r="G116" s="705" t="e">
        <f t="shared" si="38"/>
        <v>#REF!</v>
      </c>
      <c r="H116" s="705" t="e">
        <f t="shared" si="38"/>
        <v>#REF!</v>
      </c>
      <c r="I116" s="705" t="e">
        <f t="shared" si="38"/>
        <v>#REF!</v>
      </c>
      <c r="J116" s="705" t="e">
        <f t="shared" si="38"/>
        <v>#REF!</v>
      </c>
      <c r="K116" s="705" t="e">
        <f t="shared" si="38"/>
        <v>#REF!</v>
      </c>
      <c r="L116" s="705" t="e">
        <f t="shared" si="38"/>
        <v>#REF!</v>
      </c>
      <c r="M116" s="705" t="e">
        <f t="shared" si="38"/>
        <v>#REF!</v>
      </c>
      <c r="N116" s="705" t="e">
        <f t="shared" si="38"/>
        <v>#REF!</v>
      </c>
      <c r="O116" s="705" t="e">
        <f t="shared" si="38"/>
        <v>#REF!</v>
      </c>
      <c r="P116" s="705" t="e">
        <f t="shared" si="38"/>
        <v>#REF!</v>
      </c>
      <c r="Q116" s="705" t="e">
        <f t="shared" si="38"/>
        <v>#REF!</v>
      </c>
      <c r="R116" s="706" t="e">
        <f>R115/R$4</f>
        <v>#REF!</v>
      </c>
    </row>
    <row r="117" spans="1:18" s="641" customFormat="1" ht="12.75" thickBot="1">
      <c r="A117" s="650" t="s">
        <v>267</v>
      </c>
      <c r="B117" s="651"/>
      <c r="C117" s="651"/>
      <c r="D117" s="652"/>
      <c r="E117" s="652"/>
      <c r="F117" s="651"/>
      <c r="G117" s="651"/>
      <c r="H117" s="651"/>
      <c r="I117" s="651"/>
      <c r="J117" s="651"/>
      <c r="K117" s="651"/>
      <c r="L117" s="651"/>
      <c r="M117" s="651"/>
      <c r="N117" s="651"/>
      <c r="O117" s="651"/>
      <c r="P117" s="651"/>
      <c r="Q117" s="651"/>
      <c r="R117" s="653"/>
    </row>
    <row r="118" spans="1:18" s="641" customFormat="1" ht="12.75" outlineLevel="1" thickBot="1">
      <c r="A118" s="654" t="s">
        <v>245</v>
      </c>
      <c r="B118" s="655"/>
      <c r="C118" s="655"/>
      <c r="D118" s="656"/>
      <c r="E118" s="657"/>
      <c r="F118" s="655"/>
      <c r="G118" s="655"/>
      <c r="H118" s="655"/>
      <c r="I118" s="655"/>
      <c r="J118" s="655"/>
      <c r="K118" s="655"/>
      <c r="L118" s="655"/>
      <c r="M118" s="655"/>
      <c r="N118" s="655"/>
      <c r="O118" s="655"/>
      <c r="P118" s="655"/>
      <c r="Q118" s="655"/>
      <c r="R118" s="658"/>
    </row>
    <row r="119" spans="1:18" s="666" customFormat="1" outlineLevel="1">
      <c r="A119" s="659" t="s">
        <v>259</v>
      </c>
      <c r="B119" s="707" t="e">
        <f>'КРМД-25'!R119</f>
        <v>#REF!</v>
      </c>
      <c r="C119" s="660" t="e">
        <f>B119</f>
        <v>#REF!</v>
      </c>
      <c r="D119" s="708" t="e">
        <f>+B119*0.32</f>
        <v>#REF!</v>
      </c>
      <c r="E119" s="662"/>
      <c r="F119" s="663">
        <v>0</v>
      </c>
      <c r="G119" s="709">
        <f t="shared" ref="G119:Q119" si="39">(F119+F120+F121+F122-F124-F125-F126-F127-F128)</f>
        <v>0</v>
      </c>
      <c r="H119" s="709">
        <f t="shared" si="39"/>
        <v>0</v>
      </c>
      <c r="I119" s="709">
        <f t="shared" si="39"/>
        <v>0</v>
      </c>
      <c r="J119" s="709">
        <f t="shared" si="39"/>
        <v>0</v>
      </c>
      <c r="K119" s="709">
        <f t="shared" si="39"/>
        <v>0</v>
      </c>
      <c r="L119" s="709">
        <f t="shared" si="39"/>
        <v>0</v>
      </c>
      <c r="M119" s="709">
        <f t="shared" si="39"/>
        <v>0</v>
      </c>
      <c r="N119" s="709">
        <f t="shared" si="39"/>
        <v>0</v>
      </c>
      <c r="O119" s="709">
        <f t="shared" si="39"/>
        <v>0</v>
      </c>
      <c r="P119" s="709">
        <f t="shared" si="39"/>
        <v>0</v>
      </c>
      <c r="Q119" s="664" t="e">
        <f t="shared" si="39"/>
        <v>#REF!</v>
      </c>
      <c r="R119" s="665" t="e">
        <f>(Q119+Q120+Q121+Q122-Q124-Q125-Q126-Q127-Q128)</f>
        <v>#REF!</v>
      </c>
    </row>
    <row r="120" spans="1:18" s="666" customFormat="1" outlineLevel="1">
      <c r="A120" s="710" t="s">
        <v>247</v>
      </c>
      <c r="B120" s="668"/>
      <c r="C120" s="669"/>
      <c r="D120" s="670"/>
      <c r="E120" s="671"/>
      <c r="F120" s="711">
        <f>F138</f>
        <v>0</v>
      </c>
      <c r="G120" s="712">
        <f t="shared" ref="G120:Q120" si="40">G138</f>
        <v>0</v>
      </c>
      <c r="H120" s="712">
        <f t="shared" si="40"/>
        <v>0</v>
      </c>
      <c r="I120" s="712">
        <f t="shared" si="40"/>
        <v>0</v>
      </c>
      <c r="J120" s="712">
        <f t="shared" si="40"/>
        <v>0</v>
      </c>
      <c r="K120" s="712">
        <f t="shared" si="40"/>
        <v>0</v>
      </c>
      <c r="L120" s="712">
        <f t="shared" si="40"/>
        <v>0</v>
      </c>
      <c r="M120" s="712">
        <f t="shared" si="40"/>
        <v>0</v>
      </c>
      <c r="N120" s="712">
        <f t="shared" si="40"/>
        <v>0</v>
      </c>
      <c r="O120" s="712">
        <f t="shared" si="40"/>
        <v>0</v>
      </c>
      <c r="P120" s="712">
        <f t="shared" si="40"/>
        <v>0</v>
      </c>
      <c r="Q120" s="713">
        <f t="shared" si="40"/>
        <v>0</v>
      </c>
      <c r="R120" s="674">
        <f t="shared" ref="R120:R129" si="41">SUM(F120:Q120)</f>
        <v>0</v>
      </c>
    </row>
    <row r="121" spans="1:18" s="666" customFormat="1" outlineLevel="1">
      <c r="A121" s="710" t="s">
        <v>248</v>
      </c>
      <c r="B121" s="675"/>
      <c r="C121" s="676"/>
      <c r="D121" s="676"/>
      <c r="E121" s="677"/>
      <c r="F121" s="672"/>
      <c r="G121" s="688"/>
      <c r="H121" s="688"/>
      <c r="I121" s="688"/>
      <c r="J121" s="688"/>
      <c r="K121" s="688"/>
      <c r="L121" s="688"/>
      <c r="M121" s="688"/>
      <c r="N121" s="688"/>
      <c r="O121" s="688"/>
      <c r="P121" s="688"/>
      <c r="Q121" s="673"/>
      <c r="R121" s="674">
        <f t="shared" si="41"/>
        <v>0</v>
      </c>
    </row>
    <row r="122" spans="1:18" s="666" customFormat="1" ht="12.75" outlineLevel="1" thickBot="1">
      <c r="A122" s="714" t="s">
        <v>249</v>
      </c>
      <c r="B122" s="675"/>
      <c r="C122" s="676"/>
      <c r="D122" s="676"/>
      <c r="E122" s="677"/>
      <c r="F122" s="679"/>
      <c r="G122" s="680"/>
      <c r="H122" s="680"/>
      <c r="I122" s="680"/>
      <c r="J122" s="680"/>
      <c r="K122" s="680"/>
      <c r="L122" s="680"/>
      <c r="M122" s="680"/>
      <c r="N122" s="680"/>
      <c r="O122" s="680"/>
      <c r="P122" s="680"/>
      <c r="Q122" s="680"/>
      <c r="R122" s="681">
        <f t="shared" si="41"/>
        <v>0</v>
      </c>
    </row>
    <row r="123" spans="1:18" s="641" customFormat="1" ht="12.75" outlineLevel="1" thickBot="1">
      <c r="A123" s="715" t="s">
        <v>250</v>
      </c>
      <c r="B123" s="675"/>
      <c r="C123" s="676"/>
      <c r="D123" s="676"/>
      <c r="E123" s="677"/>
      <c r="F123" s="683"/>
      <c r="G123" s="655"/>
      <c r="H123" s="655"/>
      <c r="I123" s="655"/>
      <c r="J123" s="655"/>
      <c r="K123" s="655"/>
      <c r="L123" s="655"/>
      <c r="M123" s="655"/>
      <c r="N123" s="655"/>
      <c r="O123" s="655"/>
      <c r="P123" s="655"/>
      <c r="Q123" s="655"/>
      <c r="R123" s="684">
        <f t="shared" si="41"/>
        <v>0</v>
      </c>
    </row>
    <row r="124" spans="1:18" s="666" customFormat="1" outlineLevel="1">
      <c r="A124" s="718" t="s">
        <v>251</v>
      </c>
      <c r="B124" s="675"/>
      <c r="C124" s="676"/>
      <c r="D124" s="676"/>
      <c r="E124" s="677"/>
      <c r="F124" s="744"/>
      <c r="G124" s="688"/>
      <c r="H124" s="688"/>
      <c r="I124" s="688"/>
      <c r="J124" s="688"/>
      <c r="K124" s="688"/>
      <c r="L124" s="688"/>
      <c r="M124" s="688"/>
      <c r="N124" s="688"/>
      <c r="O124" s="688"/>
      <c r="P124" s="688"/>
      <c r="Q124" s="688"/>
      <c r="R124" s="689">
        <f t="shared" si="41"/>
        <v>0</v>
      </c>
    </row>
    <row r="125" spans="1:18" s="666" customFormat="1" ht="22.5" customHeight="1" outlineLevel="1">
      <c r="A125" s="722" t="s">
        <v>252</v>
      </c>
      <c r="B125" s="675"/>
      <c r="C125" s="676"/>
      <c r="D125" s="676"/>
      <c r="E125" s="677"/>
      <c r="F125" s="672"/>
      <c r="G125" s="673"/>
      <c r="H125" s="673"/>
      <c r="I125" s="673"/>
      <c r="J125" s="673"/>
      <c r="K125" s="673"/>
      <c r="L125" s="673"/>
      <c r="M125" s="673"/>
      <c r="N125" s="673"/>
      <c r="O125" s="673"/>
      <c r="P125" s="673" t="e">
        <f>B119</f>
        <v>#REF!</v>
      </c>
      <c r="Q125" s="673"/>
      <c r="R125" s="674" t="e">
        <f t="shared" si="41"/>
        <v>#REF!</v>
      </c>
    </row>
    <row r="126" spans="1:18" s="666" customFormat="1" outlineLevel="1">
      <c r="A126" s="722" t="s">
        <v>253</v>
      </c>
      <c r="B126" s="675"/>
      <c r="C126" s="676"/>
      <c r="D126" s="676"/>
      <c r="E126" s="677"/>
      <c r="F126" s="672"/>
      <c r="G126" s="673"/>
      <c r="H126" s="673"/>
      <c r="I126" s="673"/>
      <c r="J126" s="673"/>
      <c r="K126" s="673"/>
      <c r="L126" s="673"/>
      <c r="M126" s="673"/>
      <c r="N126" s="673"/>
      <c r="O126" s="673"/>
      <c r="P126" s="673"/>
      <c r="Q126" s="673"/>
      <c r="R126" s="674">
        <f t="shared" si="41"/>
        <v>0</v>
      </c>
    </row>
    <row r="127" spans="1:18" s="666" customFormat="1" outlineLevel="1">
      <c r="A127" s="722" t="s">
        <v>254</v>
      </c>
      <c r="B127" s="675"/>
      <c r="C127" s="676"/>
      <c r="D127" s="676"/>
      <c r="E127" s="677"/>
      <c r="F127" s="672"/>
      <c r="G127" s="673"/>
      <c r="H127" s="673"/>
      <c r="I127" s="673"/>
      <c r="J127" s="673"/>
      <c r="K127" s="673"/>
      <c r="L127" s="673"/>
      <c r="M127" s="673"/>
      <c r="N127" s="673"/>
      <c r="O127" s="673"/>
      <c r="P127" s="673"/>
      <c r="Q127" s="673"/>
      <c r="R127" s="674">
        <f t="shared" si="41"/>
        <v>0</v>
      </c>
    </row>
    <row r="128" spans="1:18" s="666" customFormat="1" outlineLevel="1">
      <c r="A128" s="722" t="s">
        <v>255</v>
      </c>
      <c r="B128" s="675"/>
      <c r="C128" s="676"/>
      <c r="D128" s="676"/>
      <c r="E128" s="677"/>
      <c r="F128" s="672"/>
      <c r="G128" s="673"/>
      <c r="H128" s="673"/>
      <c r="I128" s="673"/>
      <c r="J128" s="673"/>
      <c r="K128" s="673"/>
      <c r="L128" s="673"/>
      <c r="M128" s="673"/>
      <c r="N128" s="673"/>
      <c r="O128" s="673"/>
      <c r="P128" s="673"/>
      <c r="Q128" s="673"/>
      <c r="R128" s="674">
        <f t="shared" si="41"/>
        <v>0</v>
      </c>
    </row>
    <row r="129" spans="1:18" s="666" customFormat="1" outlineLevel="1">
      <c r="A129" s="725" t="s">
        <v>256</v>
      </c>
      <c r="B129" s="694"/>
      <c r="C129" s="695"/>
      <c r="D129" s="696"/>
      <c r="E129" s="697"/>
      <c r="F129" s="698">
        <f>(F119+G119)/2*F$4</f>
        <v>0</v>
      </c>
      <c r="G129" s="698">
        <f t="shared" ref="G129:P129" si="42">(G119+H119)/2*G$4</f>
        <v>0</v>
      </c>
      <c r="H129" s="698">
        <f t="shared" si="42"/>
        <v>0</v>
      </c>
      <c r="I129" s="698">
        <f t="shared" si="42"/>
        <v>0</v>
      </c>
      <c r="J129" s="698">
        <f t="shared" si="42"/>
        <v>0</v>
      </c>
      <c r="K129" s="698">
        <f t="shared" si="42"/>
        <v>0</v>
      </c>
      <c r="L129" s="698">
        <f t="shared" si="42"/>
        <v>0</v>
      </c>
      <c r="M129" s="698">
        <f t="shared" si="42"/>
        <v>0</v>
      </c>
      <c r="N129" s="698">
        <f t="shared" si="42"/>
        <v>0</v>
      </c>
      <c r="O129" s="698">
        <f t="shared" si="42"/>
        <v>0</v>
      </c>
      <c r="P129" s="698" t="e">
        <f t="shared" si="42"/>
        <v>#REF!</v>
      </c>
      <c r="Q129" s="698">
        <v>0</v>
      </c>
      <c r="R129" s="699" t="e">
        <f t="shared" si="41"/>
        <v>#REF!</v>
      </c>
    </row>
    <row r="130" spans="1:18" s="666" customFormat="1" ht="12.75" outlineLevel="1" thickBot="1">
      <c r="A130" s="700" t="s">
        <v>257</v>
      </c>
      <c r="B130" s="701"/>
      <c r="C130" s="701"/>
      <c r="D130" s="702"/>
      <c r="E130" s="703"/>
      <c r="F130" s="704">
        <f t="shared" ref="F130:Q130" si="43">F129/F$4</f>
        <v>0</v>
      </c>
      <c r="G130" s="705">
        <f t="shared" si="43"/>
        <v>0</v>
      </c>
      <c r="H130" s="705">
        <f t="shared" si="43"/>
        <v>0</v>
      </c>
      <c r="I130" s="705">
        <f t="shared" si="43"/>
        <v>0</v>
      </c>
      <c r="J130" s="705">
        <f t="shared" si="43"/>
        <v>0</v>
      </c>
      <c r="K130" s="705">
        <f t="shared" si="43"/>
        <v>0</v>
      </c>
      <c r="L130" s="705">
        <f t="shared" si="43"/>
        <v>0</v>
      </c>
      <c r="M130" s="705">
        <f t="shared" si="43"/>
        <v>0</v>
      </c>
      <c r="N130" s="705">
        <f t="shared" si="43"/>
        <v>0</v>
      </c>
      <c r="O130" s="705">
        <f t="shared" si="43"/>
        <v>0</v>
      </c>
      <c r="P130" s="705" t="e">
        <f t="shared" si="43"/>
        <v>#REF!</v>
      </c>
      <c r="Q130" s="705">
        <f t="shared" si="43"/>
        <v>0</v>
      </c>
      <c r="R130" s="706" t="e">
        <f>R129/R$4</f>
        <v>#REF!</v>
      </c>
    </row>
    <row r="131" spans="1:18" s="641" customFormat="1" ht="12.75" thickBot="1">
      <c r="A131" s="650" t="s">
        <v>268</v>
      </c>
      <c r="B131" s="651"/>
      <c r="C131" s="651"/>
      <c r="D131" s="652"/>
      <c r="E131" s="652"/>
      <c r="F131" s="651"/>
      <c r="G131" s="651"/>
      <c r="H131" s="651"/>
      <c r="I131" s="651"/>
      <c r="J131" s="651"/>
      <c r="K131" s="651"/>
      <c r="L131" s="651"/>
      <c r="M131" s="651"/>
      <c r="N131" s="651"/>
      <c r="O131" s="651"/>
      <c r="P131" s="651"/>
      <c r="Q131" s="651"/>
      <c r="R131" s="653"/>
    </row>
    <row r="132" spans="1:18" s="641" customFormat="1" ht="12.75" outlineLevel="1" thickBot="1">
      <c r="A132" s="654" t="s">
        <v>245</v>
      </c>
      <c r="B132" s="655"/>
      <c r="C132" s="655"/>
      <c r="D132" s="656"/>
      <c r="E132" s="657"/>
      <c r="F132" s="655"/>
      <c r="G132" s="655"/>
      <c r="H132" s="655"/>
      <c r="I132" s="655"/>
      <c r="J132" s="655"/>
      <c r="K132" s="655"/>
      <c r="L132" s="655"/>
      <c r="M132" s="655"/>
      <c r="N132" s="655"/>
      <c r="O132" s="655"/>
      <c r="P132" s="655"/>
      <c r="Q132" s="655"/>
      <c r="R132" s="658"/>
    </row>
    <row r="133" spans="1:18" s="666" customFormat="1" outlineLevel="1">
      <c r="A133" s="659" t="s">
        <v>259</v>
      </c>
      <c r="B133" s="707" t="e">
        <f>'КРМД-25'!R133</f>
        <v>#REF!</v>
      </c>
      <c r="C133" s="660" t="e">
        <f>B133</f>
        <v>#REF!</v>
      </c>
      <c r="D133" s="708" t="e">
        <f>+B133*0.275</f>
        <v>#REF!</v>
      </c>
      <c r="E133" s="662" t="e">
        <f>B133*55</f>
        <v>#REF!</v>
      </c>
      <c r="F133" s="663" t="e">
        <f>B133</f>
        <v>#REF!</v>
      </c>
      <c r="G133" s="709" t="e">
        <f t="shared" ref="G133:Q133" si="44">(F133+F134+F135+F136-F138-F139-F140-F141-F142)</f>
        <v>#REF!</v>
      </c>
      <c r="H133" s="709" t="e">
        <f t="shared" si="44"/>
        <v>#REF!</v>
      </c>
      <c r="I133" s="709" t="e">
        <f t="shared" si="44"/>
        <v>#REF!</v>
      </c>
      <c r="J133" s="709" t="e">
        <f t="shared" si="44"/>
        <v>#REF!</v>
      </c>
      <c r="K133" s="709" t="e">
        <f t="shared" si="44"/>
        <v>#REF!</v>
      </c>
      <c r="L133" s="709" t="e">
        <f t="shared" si="44"/>
        <v>#REF!</v>
      </c>
      <c r="M133" s="709" t="e">
        <f t="shared" si="44"/>
        <v>#REF!</v>
      </c>
      <c r="N133" s="709" t="e">
        <f t="shared" si="44"/>
        <v>#REF!</v>
      </c>
      <c r="O133" s="709" t="e">
        <f t="shared" si="44"/>
        <v>#REF!</v>
      </c>
      <c r="P133" s="709" t="e">
        <f t="shared" si="44"/>
        <v>#REF!</v>
      </c>
      <c r="Q133" s="664" t="e">
        <f t="shared" si="44"/>
        <v>#REF!</v>
      </c>
      <c r="R133" s="665" t="e">
        <f>(Q133+Q134+Q135+Q136-Q138-Q139-Q140-Q141-Q142)</f>
        <v>#REF!</v>
      </c>
    </row>
    <row r="134" spans="1:18" s="666" customFormat="1" outlineLevel="1">
      <c r="A134" s="710" t="s">
        <v>247</v>
      </c>
      <c r="B134" s="668"/>
      <c r="C134" s="669"/>
      <c r="D134" s="670"/>
      <c r="E134" s="671"/>
      <c r="F134" s="711">
        <f>F152</f>
        <v>0</v>
      </c>
      <c r="G134" s="712">
        <f t="shared" ref="G134:Q134" si="45">G152</f>
        <v>0</v>
      </c>
      <c r="H134" s="712">
        <f t="shared" si="45"/>
        <v>0</v>
      </c>
      <c r="I134" s="712">
        <f t="shared" si="45"/>
        <v>0</v>
      </c>
      <c r="J134" s="712">
        <f t="shared" si="45"/>
        <v>0</v>
      </c>
      <c r="K134" s="712">
        <f t="shared" si="45"/>
        <v>0</v>
      </c>
      <c r="L134" s="712">
        <f t="shared" si="45"/>
        <v>0</v>
      </c>
      <c r="M134" s="712">
        <f t="shared" si="45"/>
        <v>0</v>
      </c>
      <c r="N134" s="712">
        <f t="shared" si="45"/>
        <v>0</v>
      </c>
      <c r="O134" s="712">
        <f t="shared" si="45"/>
        <v>0</v>
      </c>
      <c r="P134" s="712">
        <f t="shared" si="45"/>
        <v>0</v>
      </c>
      <c r="Q134" s="713" t="e">
        <f t="shared" si="45"/>
        <v>#REF!</v>
      </c>
      <c r="R134" s="674" t="e">
        <f t="shared" ref="R134:R143" si="46">SUM(F134:Q134)</f>
        <v>#REF!</v>
      </c>
    </row>
    <row r="135" spans="1:18" s="666" customFormat="1" outlineLevel="1">
      <c r="A135" s="710" t="s">
        <v>248</v>
      </c>
      <c r="B135" s="675"/>
      <c r="C135" s="676"/>
      <c r="D135" s="676"/>
      <c r="E135" s="677"/>
      <c r="F135" s="672"/>
      <c r="G135" s="688"/>
      <c r="H135" s="688"/>
      <c r="I135" s="688"/>
      <c r="J135" s="688"/>
      <c r="K135" s="688"/>
      <c r="L135" s="688"/>
      <c r="M135" s="688"/>
      <c r="N135" s="688"/>
      <c r="O135" s="688"/>
      <c r="P135" s="688"/>
      <c r="Q135" s="673"/>
      <c r="R135" s="674">
        <f t="shared" si="46"/>
        <v>0</v>
      </c>
    </row>
    <row r="136" spans="1:18" s="666" customFormat="1" ht="12.75" outlineLevel="1" thickBot="1">
      <c r="A136" s="714" t="s">
        <v>249</v>
      </c>
      <c r="B136" s="675"/>
      <c r="C136" s="676"/>
      <c r="D136" s="676"/>
      <c r="E136" s="677"/>
      <c r="F136" s="679"/>
      <c r="G136" s="680"/>
      <c r="H136" s="680"/>
      <c r="I136" s="680"/>
      <c r="J136" s="680"/>
      <c r="K136" s="680"/>
      <c r="L136" s="680"/>
      <c r="M136" s="680"/>
      <c r="N136" s="680"/>
      <c r="O136" s="680"/>
      <c r="P136" s="680"/>
      <c r="Q136" s="680"/>
      <c r="R136" s="681">
        <f t="shared" si="46"/>
        <v>0</v>
      </c>
    </row>
    <row r="137" spans="1:18" s="641" customFormat="1" ht="12.75" outlineLevel="1" thickBot="1">
      <c r="A137" s="715" t="s">
        <v>250</v>
      </c>
      <c r="B137" s="675"/>
      <c r="C137" s="676"/>
      <c r="D137" s="676"/>
      <c r="E137" s="677"/>
      <c r="F137" s="683"/>
      <c r="G137" s="655"/>
      <c r="H137" s="655"/>
      <c r="I137" s="655"/>
      <c r="J137" s="655"/>
      <c r="K137" s="655"/>
      <c r="L137" s="655"/>
      <c r="M137" s="655"/>
      <c r="N137" s="655"/>
      <c r="O137" s="655"/>
      <c r="P137" s="655"/>
      <c r="Q137" s="655"/>
      <c r="R137" s="684">
        <f t="shared" si="46"/>
        <v>0</v>
      </c>
    </row>
    <row r="138" spans="1:18" s="666" customFormat="1" outlineLevel="1">
      <c r="A138" s="718" t="s">
        <v>251</v>
      </c>
      <c r="B138" s="675"/>
      <c r="C138" s="676"/>
      <c r="D138" s="676"/>
      <c r="E138" s="677"/>
      <c r="F138" s="744"/>
      <c r="G138" s="688"/>
      <c r="H138" s="688"/>
      <c r="I138" s="688"/>
      <c r="J138" s="688"/>
      <c r="K138" s="688"/>
      <c r="L138" s="688"/>
      <c r="M138" s="688"/>
      <c r="N138" s="688"/>
      <c r="O138" s="688"/>
      <c r="P138" s="688"/>
      <c r="Q138" s="688"/>
      <c r="R138" s="689">
        <f t="shared" si="46"/>
        <v>0</v>
      </c>
    </row>
    <row r="139" spans="1:18" s="666" customFormat="1" ht="22.5" customHeight="1" outlineLevel="1">
      <c r="A139" s="722" t="s">
        <v>252</v>
      </c>
      <c r="B139" s="675"/>
      <c r="C139" s="676"/>
      <c r="D139" s="676"/>
      <c r="E139" s="677"/>
      <c r="F139" s="672"/>
      <c r="G139" s="673"/>
      <c r="H139" s="673"/>
      <c r="I139" s="673"/>
      <c r="J139" s="673"/>
      <c r="K139" s="673"/>
      <c r="L139" s="673"/>
      <c r="M139" s="673"/>
      <c r="N139" s="673"/>
      <c r="O139" s="673"/>
      <c r="P139" s="673" t="e">
        <f>B133</f>
        <v>#REF!</v>
      </c>
      <c r="Q139" s="673"/>
      <c r="R139" s="674" t="e">
        <f t="shared" si="46"/>
        <v>#REF!</v>
      </c>
    </row>
    <row r="140" spans="1:18" s="666" customFormat="1" outlineLevel="1">
      <c r="A140" s="722" t="s">
        <v>253</v>
      </c>
      <c r="B140" s="675"/>
      <c r="C140" s="676"/>
      <c r="D140" s="676"/>
      <c r="E140" s="677"/>
      <c r="F140" s="672"/>
      <c r="G140" s="673"/>
      <c r="H140" s="673"/>
      <c r="I140" s="673"/>
      <c r="J140" s="673"/>
      <c r="K140" s="673"/>
      <c r="L140" s="673"/>
      <c r="M140" s="673"/>
      <c r="N140" s="673"/>
      <c r="O140" s="673"/>
      <c r="P140" s="673"/>
      <c r="Q140" s="673"/>
      <c r="R140" s="674">
        <f t="shared" si="46"/>
        <v>0</v>
      </c>
    </row>
    <row r="141" spans="1:18" s="666" customFormat="1" outlineLevel="1">
      <c r="A141" s="722" t="s">
        <v>254</v>
      </c>
      <c r="B141" s="675"/>
      <c r="C141" s="676"/>
      <c r="D141" s="676"/>
      <c r="E141" s="677"/>
      <c r="F141" s="672"/>
      <c r="G141" s="673"/>
      <c r="H141" s="673"/>
      <c r="I141" s="673"/>
      <c r="J141" s="673"/>
      <c r="K141" s="673"/>
      <c r="L141" s="673"/>
      <c r="M141" s="673"/>
      <c r="N141" s="673"/>
      <c r="O141" s="673"/>
      <c r="P141" s="673"/>
      <c r="Q141" s="673"/>
      <c r="R141" s="674">
        <f t="shared" si="46"/>
        <v>0</v>
      </c>
    </row>
    <row r="142" spans="1:18" s="666" customFormat="1" outlineLevel="1">
      <c r="A142" s="722" t="s">
        <v>255</v>
      </c>
      <c r="B142" s="675"/>
      <c r="C142" s="676"/>
      <c r="D142" s="676"/>
      <c r="E142" s="677"/>
      <c r="F142" s="672"/>
      <c r="G142" s="673"/>
      <c r="H142" s="673"/>
      <c r="I142" s="673"/>
      <c r="J142" s="673"/>
      <c r="K142" s="673"/>
      <c r="L142" s="673"/>
      <c r="M142" s="673"/>
      <c r="N142" s="673"/>
      <c r="O142" s="673"/>
      <c r="P142" s="673"/>
      <c r="Q142" s="673"/>
      <c r="R142" s="674">
        <f t="shared" si="46"/>
        <v>0</v>
      </c>
    </row>
    <row r="143" spans="1:18" s="666" customFormat="1" outlineLevel="1">
      <c r="A143" s="725" t="s">
        <v>256</v>
      </c>
      <c r="B143" s="694"/>
      <c r="C143" s="695"/>
      <c r="D143" s="696"/>
      <c r="E143" s="697"/>
      <c r="F143" s="698" t="e">
        <f>(F133+G133)/2*F$4</f>
        <v>#REF!</v>
      </c>
      <c r="G143" s="698" t="e">
        <f t="shared" ref="G143:Q143" si="47">(G133+H133)/2*G$4</f>
        <v>#REF!</v>
      </c>
      <c r="H143" s="698" t="e">
        <f t="shared" si="47"/>
        <v>#REF!</v>
      </c>
      <c r="I143" s="698" t="e">
        <f t="shared" si="47"/>
        <v>#REF!</v>
      </c>
      <c r="J143" s="698" t="e">
        <f t="shared" si="47"/>
        <v>#REF!</v>
      </c>
      <c r="K143" s="698" t="e">
        <f t="shared" si="47"/>
        <v>#REF!</v>
      </c>
      <c r="L143" s="698" t="e">
        <f t="shared" si="47"/>
        <v>#REF!</v>
      </c>
      <c r="M143" s="698" t="e">
        <f t="shared" si="47"/>
        <v>#REF!</v>
      </c>
      <c r="N143" s="698" t="e">
        <f t="shared" si="47"/>
        <v>#REF!</v>
      </c>
      <c r="O143" s="698" t="e">
        <f t="shared" si="47"/>
        <v>#REF!</v>
      </c>
      <c r="P143" s="698" t="e">
        <f t="shared" si="47"/>
        <v>#REF!</v>
      </c>
      <c r="Q143" s="698" t="e">
        <f t="shared" si="47"/>
        <v>#REF!</v>
      </c>
      <c r="R143" s="699" t="e">
        <f t="shared" si="46"/>
        <v>#REF!</v>
      </c>
    </row>
    <row r="144" spans="1:18" s="666" customFormat="1" ht="12.75" outlineLevel="1" thickBot="1">
      <c r="A144" s="700" t="s">
        <v>257</v>
      </c>
      <c r="B144" s="701"/>
      <c r="C144" s="701"/>
      <c r="D144" s="702"/>
      <c r="E144" s="703"/>
      <c r="F144" s="704" t="e">
        <f>F143/F$4</f>
        <v>#REF!</v>
      </c>
      <c r="G144" s="705" t="e">
        <f t="shared" ref="G144:Q144" si="48">G143/G$4</f>
        <v>#REF!</v>
      </c>
      <c r="H144" s="705" t="e">
        <f t="shared" si="48"/>
        <v>#REF!</v>
      </c>
      <c r="I144" s="705" t="e">
        <f t="shared" si="48"/>
        <v>#REF!</v>
      </c>
      <c r="J144" s="705" t="e">
        <f t="shared" si="48"/>
        <v>#REF!</v>
      </c>
      <c r="K144" s="705" t="e">
        <f t="shared" si="48"/>
        <v>#REF!</v>
      </c>
      <c r="L144" s="705" t="e">
        <f t="shared" si="48"/>
        <v>#REF!</v>
      </c>
      <c r="M144" s="705" t="e">
        <f t="shared" si="48"/>
        <v>#REF!</v>
      </c>
      <c r="N144" s="705" t="e">
        <f t="shared" si="48"/>
        <v>#REF!</v>
      </c>
      <c r="O144" s="705" t="e">
        <f t="shared" si="48"/>
        <v>#REF!</v>
      </c>
      <c r="P144" s="705" t="e">
        <f t="shared" si="48"/>
        <v>#REF!</v>
      </c>
      <c r="Q144" s="705" t="e">
        <f t="shared" si="48"/>
        <v>#REF!</v>
      </c>
      <c r="R144" s="706" t="e">
        <f>R143/R$4</f>
        <v>#REF!</v>
      </c>
    </row>
    <row r="145" spans="1:18" s="641" customFormat="1" ht="12.75" thickBot="1">
      <c r="A145" s="650" t="s">
        <v>269</v>
      </c>
      <c r="B145" s="651"/>
      <c r="C145" s="651"/>
      <c r="D145" s="652"/>
      <c r="E145" s="652"/>
      <c r="F145" s="651"/>
      <c r="G145" s="651"/>
      <c r="H145" s="651"/>
      <c r="I145" s="651"/>
      <c r="J145" s="651"/>
      <c r="K145" s="651"/>
      <c r="L145" s="651"/>
      <c r="M145" s="651"/>
      <c r="N145" s="651"/>
      <c r="O145" s="651"/>
      <c r="P145" s="651"/>
      <c r="Q145" s="651"/>
      <c r="R145" s="653"/>
    </row>
    <row r="146" spans="1:18" s="641" customFormat="1" ht="12.75" outlineLevel="1" thickBot="1">
      <c r="A146" s="654" t="s">
        <v>245</v>
      </c>
      <c r="B146" s="655"/>
      <c r="C146" s="655"/>
      <c r="D146" s="656"/>
      <c r="E146" s="657"/>
      <c r="F146" s="655"/>
      <c r="G146" s="655"/>
      <c r="H146" s="655"/>
      <c r="I146" s="655"/>
      <c r="J146" s="655"/>
      <c r="K146" s="655"/>
      <c r="L146" s="655"/>
      <c r="M146" s="655"/>
      <c r="N146" s="655"/>
      <c r="O146" s="655"/>
      <c r="P146" s="655"/>
      <c r="Q146" s="655"/>
      <c r="R146" s="658"/>
    </row>
    <row r="147" spans="1:18" s="666" customFormat="1" outlineLevel="1">
      <c r="A147" s="659" t="s">
        <v>259</v>
      </c>
      <c r="B147" s="707" t="e">
        <f>'КРМД-25'!R147</f>
        <v>#REF!</v>
      </c>
      <c r="C147" s="660" t="e">
        <f>B147</f>
        <v>#REF!</v>
      </c>
      <c r="D147" s="708" t="e">
        <f>+B147*0.19</f>
        <v>#REF!</v>
      </c>
      <c r="E147" s="662" t="e">
        <f>B147*45</f>
        <v>#REF!</v>
      </c>
      <c r="F147" s="663" t="e">
        <f>B147</f>
        <v>#REF!</v>
      </c>
      <c r="G147" s="709" t="e">
        <f t="shared" ref="G147:Q147" si="49">(F147+F148+F149+F150-F152-F153-F154-F155-F156)</f>
        <v>#REF!</v>
      </c>
      <c r="H147" s="709" t="e">
        <f t="shared" si="49"/>
        <v>#REF!</v>
      </c>
      <c r="I147" s="709" t="e">
        <f t="shared" si="49"/>
        <v>#REF!</v>
      </c>
      <c r="J147" s="709" t="e">
        <f t="shared" si="49"/>
        <v>#REF!</v>
      </c>
      <c r="K147" s="709" t="e">
        <f t="shared" si="49"/>
        <v>#REF!</v>
      </c>
      <c r="L147" s="709" t="e">
        <f t="shared" si="49"/>
        <v>#REF!</v>
      </c>
      <c r="M147" s="709" t="e">
        <f t="shared" si="49"/>
        <v>#REF!</v>
      </c>
      <c r="N147" s="709" t="e">
        <f t="shared" si="49"/>
        <v>#REF!</v>
      </c>
      <c r="O147" s="709" t="e">
        <f t="shared" si="49"/>
        <v>#REF!</v>
      </c>
      <c r="P147" s="709" t="e">
        <f t="shared" si="49"/>
        <v>#REF!</v>
      </c>
      <c r="Q147" s="664" t="e">
        <f t="shared" si="49"/>
        <v>#REF!</v>
      </c>
      <c r="R147" s="665" t="e">
        <f>(Q147+Q148+Q149+Q150-Q152-Q153-Q154-Q155-Q156)</f>
        <v>#REF!</v>
      </c>
    </row>
    <row r="148" spans="1:18" s="666" customFormat="1" outlineLevel="1">
      <c r="A148" s="710" t="s">
        <v>247</v>
      </c>
      <c r="B148" s="668"/>
      <c r="C148" s="669"/>
      <c r="D148" s="670"/>
      <c r="E148" s="671"/>
      <c r="F148" s="711">
        <f>F180</f>
        <v>0</v>
      </c>
      <c r="G148" s="712">
        <f>G180</f>
        <v>0</v>
      </c>
      <c r="H148" s="712">
        <f t="shared" ref="H148:Q148" si="50">H180</f>
        <v>0</v>
      </c>
      <c r="I148" s="712">
        <f t="shared" si="50"/>
        <v>0</v>
      </c>
      <c r="J148" s="712">
        <f t="shared" si="50"/>
        <v>0</v>
      </c>
      <c r="K148" s="712">
        <f t="shared" si="50"/>
        <v>0</v>
      </c>
      <c r="L148" s="712">
        <f t="shared" si="50"/>
        <v>0</v>
      </c>
      <c r="M148" s="712">
        <f t="shared" si="50"/>
        <v>0</v>
      </c>
      <c r="N148" s="712">
        <f>N180</f>
        <v>0</v>
      </c>
      <c r="O148" s="712">
        <f t="shared" si="50"/>
        <v>0</v>
      </c>
      <c r="P148" s="712">
        <f>P180</f>
        <v>0</v>
      </c>
      <c r="Q148" s="713" t="e">
        <f t="shared" si="50"/>
        <v>#REF!</v>
      </c>
      <c r="R148" s="674" t="e">
        <f t="shared" ref="R148:R157" si="51">SUM(F148:Q148)</f>
        <v>#REF!</v>
      </c>
    </row>
    <row r="149" spans="1:18" s="666" customFormat="1" outlineLevel="1">
      <c r="A149" s="710" t="s">
        <v>248</v>
      </c>
      <c r="B149" s="675"/>
      <c r="C149" s="676"/>
      <c r="D149" s="676"/>
      <c r="E149" s="677"/>
      <c r="F149" s="672"/>
      <c r="G149" s="688"/>
      <c r="H149" s="688"/>
      <c r="I149" s="688"/>
      <c r="J149" s="688"/>
      <c r="K149" s="688"/>
      <c r="L149" s="688"/>
      <c r="M149" s="688"/>
      <c r="N149" s="688"/>
      <c r="O149" s="688"/>
      <c r="P149" s="688"/>
      <c r="Q149" s="673"/>
      <c r="R149" s="674">
        <f t="shared" si="51"/>
        <v>0</v>
      </c>
    </row>
    <row r="150" spans="1:18" s="666" customFormat="1" ht="12.75" outlineLevel="1" thickBot="1">
      <c r="A150" s="714" t="s">
        <v>249</v>
      </c>
      <c r="B150" s="675"/>
      <c r="C150" s="676"/>
      <c r="D150" s="676"/>
      <c r="E150" s="677"/>
      <c r="F150" s="679"/>
      <c r="G150" s="680"/>
      <c r="H150" s="680"/>
      <c r="I150" s="680"/>
      <c r="J150" s="680"/>
      <c r="K150" s="680"/>
      <c r="L150" s="680"/>
      <c r="M150" s="680"/>
      <c r="N150" s="680"/>
      <c r="O150" s="680"/>
      <c r="P150" s="680"/>
      <c r="Q150" s="680"/>
      <c r="R150" s="681">
        <f t="shared" si="51"/>
        <v>0</v>
      </c>
    </row>
    <row r="151" spans="1:18" s="641" customFormat="1" ht="12.75" outlineLevel="1" thickBot="1">
      <c r="A151" s="715" t="s">
        <v>250</v>
      </c>
      <c r="B151" s="675"/>
      <c r="C151" s="676"/>
      <c r="D151" s="676"/>
      <c r="E151" s="677"/>
      <c r="F151" s="683"/>
      <c r="G151" s="655"/>
      <c r="H151" s="655"/>
      <c r="I151" s="655"/>
      <c r="J151" s="655"/>
      <c r="K151" s="655"/>
      <c r="L151" s="655"/>
      <c r="M151" s="655"/>
      <c r="N151" s="655"/>
      <c r="O151" s="655"/>
      <c r="P151" s="655"/>
      <c r="Q151" s="655"/>
      <c r="R151" s="684">
        <f t="shared" si="51"/>
        <v>0</v>
      </c>
    </row>
    <row r="152" spans="1:18" s="666" customFormat="1" outlineLevel="1">
      <c r="A152" s="718" t="s">
        <v>251</v>
      </c>
      <c r="B152" s="675"/>
      <c r="C152" s="676"/>
      <c r="D152" s="676"/>
      <c r="E152" s="677"/>
      <c r="F152" s="744"/>
      <c r="G152" s="688"/>
      <c r="H152" s="688"/>
      <c r="I152" s="688"/>
      <c r="J152" s="688"/>
      <c r="K152" s="688"/>
      <c r="L152" s="688"/>
      <c r="M152" s="688"/>
      <c r="N152" s="688"/>
      <c r="O152" s="688"/>
      <c r="P152" s="688"/>
      <c r="Q152" s="688" t="e">
        <f>Q147</f>
        <v>#REF!</v>
      </c>
      <c r="R152" s="689" t="e">
        <f t="shared" si="51"/>
        <v>#REF!</v>
      </c>
    </row>
    <row r="153" spans="1:18" s="666" customFormat="1" ht="22.5" customHeight="1" outlineLevel="1">
      <c r="A153" s="722" t="s">
        <v>252</v>
      </c>
      <c r="B153" s="675"/>
      <c r="C153" s="676"/>
      <c r="D153" s="676"/>
      <c r="E153" s="677"/>
      <c r="F153" s="672"/>
      <c r="G153" s="673"/>
      <c r="H153" s="673"/>
      <c r="I153" s="673"/>
      <c r="J153" s="673"/>
      <c r="K153" s="673"/>
      <c r="L153" s="673"/>
      <c r="M153" s="673"/>
      <c r="N153" s="673"/>
      <c r="O153" s="673"/>
      <c r="P153" s="673"/>
      <c r="Q153" s="673"/>
      <c r="R153" s="674">
        <f t="shared" si="51"/>
        <v>0</v>
      </c>
    </row>
    <row r="154" spans="1:18" s="666" customFormat="1" outlineLevel="1">
      <c r="A154" s="722" t="s">
        <v>253</v>
      </c>
      <c r="B154" s="675"/>
      <c r="C154" s="676"/>
      <c r="D154" s="676"/>
      <c r="E154" s="677"/>
      <c r="F154" s="672"/>
      <c r="G154" s="673"/>
      <c r="H154" s="673"/>
      <c r="I154" s="673"/>
      <c r="J154" s="673"/>
      <c r="K154" s="673"/>
      <c r="L154" s="673"/>
      <c r="M154" s="673"/>
      <c r="N154" s="673"/>
      <c r="O154" s="673"/>
      <c r="P154" s="673"/>
      <c r="Q154" s="673"/>
      <c r="R154" s="674">
        <f t="shared" si="51"/>
        <v>0</v>
      </c>
    </row>
    <row r="155" spans="1:18" s="666" customFormat="1" outlineLevel="1">
      <c r="A155" s="722" t="s">
        <v>254</v>
      </c>
      <c r="B155" s="675"/>
      <c r="C155" s="676"/>
      <c r="D155" s="676"/>
      <c r="E155" s="677"/>
      <c r="F155" s="672"/>
      <c r="G155" s="673"/>
      <c r="H155" s="673"/>
      <c r="I155" s="673"/>
      <c r="J155" s="673"/>
      <c r="K155" s="673"/>
      <c r="L155" s="673"/>
      <c r="M155" s="673"/>
      <c r="N155" s="673"/>
      <c r="O155" s="673"/>
      <c r="P155" s="673"/>
      <c r="Q155" s="673"/>
      <c r="R155" s="674">
        <f t="shared" si="51"/>
        <v>0</v>
      </c>
    </row>
    <row r="156" spans="1:18" s="666" customFormat="1" outlineLevel="1">
      <c r="A156" s="722" t="s">
        <v>255</v>
      </c>
      <c r="B156" s="675"/>
      <c r="C156" s="676"/>
      <c r="D156" s="676"/>
      <c r="E156" s="677"/>
      <c r="F156" s="672"/>
      <c r="G156" s="673"/>
      <c r="H156" s="673"/>
      <c r="I156" s="673"/>
      <c r="J156" s="673"/>
      <c r="K156" s="673"/>
      <c r="L156" s="673"/>
      <c r="M156" s="673"/>
      <c r="N156" s="747"/>
      <c r="O156" s="673"/>
      <c r="P156" s="673"/>
      <c r="Q156" s="673"/>
      <c r="R156" s="674">
        <f t="shared" si="51"/>
        <v>0</v>
      </c>
    </row>
    <row r="157" spans="1:18" s="666" customFormat="1" outlineLevel="1">
      <c r="A157" s="725" t="s">
        <v>256</v>
      </c>
      <c r="B157" s="694"/>
      <c r="C157" s="695"/>
      <c r="D157" s="696"/>
      <c r="E157" s="697"/>
      <c r="F157" s="698" t="e">
        <f t="shared" ref="F157:P157" si="52">(F147+G147)/2*F$4</f>
        <v>#REF!</v>
      </c>
      <c r="G157" s="698" t="e">
        <f t="shared" si="52"/>
        <v>#REF!</v>
      </c>
      <c r="H157" s="698" t="e">
        <f t="shared" si="52"/>
        <v>#REF!</v>
      </c>
      <c r="I157" s="698" t="e">
        <f t="shared" si="52"/>
        <v>#REF!</v>
      </c>
      <c r="J157" s="698" t="e">
        <f t="shared" si="52"/>
        <v>#REF!</v>
      </c>
      <c r="K157" s="698" t="e">
        <f t="shared" si="52"/>
        <v>#REF!</v>
      </c>
      <c r="L157" s="698" t="e">
        <f t="shared" si="52"/>
        <v>#REF!</v>
      </c>
      <c r="M157" s="698" t="e">
        <f t="shared" si="52"/>
        <v>#REF!</v>
      </c>
      <c r="N157" s="698" t="e">
        <f t="shared" si="52"/>
        <v>#REF!</v>
      </c>
      <c r="O157" s="698" t="e">
        <f t="shared" si="52"/>
        <v>#REF!</v>
      </c>
      <c r="P157" s="698" t="e">
        <f t="shared" si="52"/>
        <v>#REF!</v>
      </c>
      <c r="Q157" s="698" t="e">
        <f>(Q147+R147)/2*Q$4</f>
        <v>#REF!</v>
      </c>
      <c r="R157" s="699" t="e">
        <f t="shared" si="51"/>
        <v>#REF!</v>
      </c>
    </row>
    <row r="158" spans="1:18" s="666" customFormat="1" ht="12.75" outlineLevel="1" thickBot="1">
      <c r="A158" s="700" t="s">
        <v>257</v>
      </c>
      <c r="B158" s="701"/>
      <c r="C158" s="701"/>
      <c r="D158" s="702"/>
      <c r="E158" s="703"/>
      <c r="F158" s="704" t="e">
        <f t="shared" ref="F158:P158" si="53">F157/F$4</f>
        <v>#REF!</v>
      </c>
      <c r="G158" s="705" t="e">
        <f t="shared" si="53"/>
        <v>#REF!</v>
      </c>
      <c r="H158" s="705" t="e">
        <f t="shared" si="53"/>
        <v>#REF!</v>
      </c>
      <c r="I158" s="705" t="e">
        <f t="shared" si="53"/>
        <v>#REF!</v>
      </c>
      <c r="J158" s="705" t="e">
        <f t="shared" si="53"/>
        <v>#REF!</v>
      </c>
      <c r="K158" s="705" t="e">
        <f t="shared" si="53"/>
        <v>#REF!</v>
      </c>
      <c r="L158" s="705" t="e">
        <f t="shared" si="53"/>
        <v>#REF!</v>
      </c>
      <c r="M158" s="705" t="e">
        <f t="shared" si="53"/>
        <v>#REF!</v>
      </c>
      <c r="N158" s="705" t="e">
        <f t="shared" si="53"/>
        <v>#REF!</v>
      </c>
      <c r="O158" s="705" t="e">
        <f t="shared" si="53"/>
        <v>#REF!</v>
      </c>
      <c r="P158" s="705" t="e">
        <f t="shared" si="53"/>
        <v>#REF!</v>
      </c>
      <c r="Q158" s="705" t="e">
        <f>Q157/Q$4</f>
        <v>#REF!</v>
      </c>
      <c r="R158" s="706" t="e">
        <f>R157/R$4</f>
        <v>#REF!</v>
      </c>
    </row>
    <row r="159" spans="1:18" s="641" customFormat="1" ht="12.75" thickBot="1">
      <c r="A159" s="650" t="s">
        <v>270</v>
      </c>
      <c r="B159" s="651"/>
      <c r="C159" s="651"/>
      <c r="D159" s="652"/>
      <c r="E159" s="652"/>
      <c r="F159" s="651"/>
      <c r="G159" s="651"/>
      <c r="H159" s="651"/>
      <c r="I159" s="651"/>
      <c r="J159" s="651"/>
      <c r="K159" s="651"/>
      <c r="L159" s="651"/>
      <c r="M159" s="651"/>
      <c r="N159" s="651"/>
      <c r="O159" s="651"/>
      <c r="P159" s="651"/>
      <c r="Q159" s="651"/>
      <c r="R159" s="653"/>
    </row>
    <row r="160" spans="1:18" s="641" customFormat="1" ht="12.75" outlineLevel="1" thickBot="1">
      <c r="A160" s="654" t="s">
        <v>245</v>
      </c>
      <c r="B160" s="655"/>
      <c r="C160" s="655"/>
      <c r="D160" s="656"/>
      <c r="E160" s="657"/>
      <c r="F160" s="655"/>
      <c r="G160" s="655"/>
      <c r="H160" s="655"/>
      <c r="I160" s="655"/>
      <c r="J160" s="655"/>
      <c r="K160" s="655"/>
      <c r="L160" s="655"/>
      <c r="M160" s="655"/>
      <c r="N160" s="655"/>
      <c r="O160" s="655"/>
      <c r="P160" s="655"/>
      <c r="Q160" s="655"/>
      <c r="R160" s="658"/>
    </row>
    <row r="161" spans="1:18" s="666" customFormat="1" outlineLevel="1">
      <c r="A161" s="659" t="s">
        <v>259</v>
      </c>
      <c r="B161" s="707"/>
      <c r="C161" s="660">
        <f>B161</f>
        <v>0</v>
      </c>
      <c r="D161" s="708"/>
      <c r="E161" s="742"/>
      <c r="F161" s="663">
        <f>B161</f>
        <v>0</v>
      </c>
      <c r="G161" s="664">
        <f t="shared" ref="G161:Q161" si="54">(F161+F162+F163+F164-F166-F167-F168-F169-F170)</f>
        <v>0</v>
      </c>
      <c r="H161" s="664">
        <f>(G161+G162+G163+G164-G166-G167-G168-G169-G170)</f>
        <v>0</v>
      </c>
      <c r="I161" s="664" t="e">
        <f t="shared" si="54"/>
        <v>#REF!</v>
      </c>
      <c r="J161" s="664" t="e">
        <f t="shared" si="54"/>
        <v>#REF!</v>
      </c>
      <c r="K161" s="664" t="e">
        <f t="shared" si="54"/>
        <v>#REF!</v>
      </c>
      <c r="L161" s="664" t="e">
        <f t="shared" si="54"/>
        <v>#REF!</v>
      </c>
      <c r="M161" s="664" t="e">
        <f t="shared" si="54"/>
        <v>#REF!</v>
      </c>
      <c r="N161" s="664" t="e">
        <f t="shared" si="54"/>
        <v>#REF!</v>
      </c>
      <c r="O161" s="664" t="e">
        <f t="shared" si="54"/>
        <v>#REF!</v>
      </c>
      <c r="P161" s="664" t="e">
        <f t="shared" si="54"/>
        <v>#REF!</v>
      </c>
      <c r="Q161" s="664" t="e">
        <f t="shared" si="54"/>
        <v>#REF!</v>
      </c>
      <c r="R161" s="665" t="e">
        <f>(Q161+Q162+Q163+Q164-Q166-Q167-Q168-Q169-Q170)</f>
        <v>#REF!</v>
      </c>
    </row>
    <row r="162" spans="1:18" s="666" customFormat="1" outlineLevel="1">
      <c r="A162" s="710" t="s">
        <v>271</v>
      </c>
      <c r="B162" s="668"/>
      <c r="C162" s="669"/>
      <c r="D162" s="670"/>
      <c r="E162" s="671"/>
      <c r="F162" s="672"/>
      <c r="G162" s="673"/>
      <c r="H162" s="673" t="e">
        <f>ROUNDDOWN(((B35+B63)/2)*85%,0)</f>
        <v>#REF!</v>
      </c>
      <c r="I162" s="673"/>
      <c r="J162" s="673"/>
      <c r="K162" s="673"/>
      <c r="L162" s="673"/>
      <c r="M162" s="673"/>
      <c r="N162" s="673"/>
      <c r="O162" s="673"/>
      <c r="P162" s="673"/>
      <c r="Q162" s="673"/>
      <c r="R162" s="674" t="e">
        <f t="shared" ref="R162:R171" si="55">SUM(F162:Q162)</f>
        <v>#REF!</v>
      </c>
    </row>
    <row r="163" spans="1:18" s="666" customFormat="1" outlineLevel="1">
      <c r="A163" s="710" t="s">
        <v>248</v>
      </c>
      <c r="B163" s="675"/>
      <c r="C163" s="676"/>
      <c r="D163" s="676"/>
      <c r="E163" s="677"/>
      <c r="F163" s="672"/>
      <c r="G163" s="673"/>
      <c r="H163" s="673"/>
      <c r="I163" s="673"/>
      <c r="J163" s="673"/>
      <c r="K163" s="673"/>
      <c r="L163" s="673"/>
      <c r="M163" s="673"/>
      <c r="N163" s="673"/>
      <c r="O163" s="673"/>
      <c r="P163" s="673"/>
      <c r="Q163" s="673"/>
      <c r="R163" s="674">
        <f t="shared" si="55"/>
        <v>0</v>
      </c>
    </row>
    <row r="164" spans="1:18" s="666" customFormat="1" ht="12.75" outlineLevel="1" thickBot="1">
      <c r="A164" s="714" t="s">
        <v>249</v>
      </c>
      <c r="B164" s="675"/>
      <c r="C164" s="676"/>
      <c r="D164" s="676"/>
      <c r="E164" s="677"/>
      <c r="F164" s="672"/>
      <c r="G164" s="673"/>
      <c r="H164" s="673"/>
      <c r="I164" s="673"/>
      <c r="J164" s="673"/>
      <c r="K164" s="673"/>
      <c r="L164" s="673"/>
      <c r="M164" s="673"/>
      <c r="N164" s="673"/>
      <c r="O164" s="673"/>
      <c r="P164" s="673"/>
      <c r="Q164" s="673"/>
      <c r="R164" s="674">
        <f t="shared" si="55"/>
        <v>0</v>
      </c>
    </row>
    <row r="165" spans="1:18" s="641" customFormat="1" ht="12.75" outlineLevel="1" thickBot="1">
      <c r="A165" s="715" t="s">
        <v>250</v>
      </c>
      <c r="B165" s="675"/>
      <c r="C165" s="676"/>
      <c r="D165" s="676"/>
      <c r="E165" s="677"/>
      <c r="F165" s="683"/>
      <c r="G165" s="655"/>
      <c r="H165" s="655"/>
      <c r="I165" s="655"/>
      <c r="J165" s="655"/>
      <c r="K165" s="655"/>
      <c r="L165" s="655"/>
      <c r="M165" s="655"/>
      <c r="N165" s="655"/>
      <c r="O165" s="655"/>
      <c r="P165" s="655"/>
      <c r="Q165" s="655"/>
      <c r="R165" s="684">
        <f t="shared" si="55"/>
        <v>0</v>
      </c>
    </row>
    <row r="166" spans="1:18" s="666" customFormat="1" outlineLevel="1">
      <c r="A166" s="718" t="s">
        <v>251</v>
      </c>
      <c r="B166" s="675"/>
      <c r="C166" s="676"/>
      <c r="D166" s="676"/>
      <c r="E166" s="677"/>
      <c r="F166" s="672"/>
      <c r="G166" s="673"/>
      <c r="H166" s="673"/>
      <c r="I166" s="673"/>
      <c r="J166" s="673"/>
      <c r="K166" s="673"/>
      <c r="L166" s="673"/>
      <c r="M166" s="673"/>
      <c r="N166" s="673"/>
      <c r="O166" s="673"/>
      <c r="P166" s="673"/>
      <c r="Q166" s="688" t="e">
        <f>Q161</f>
        <v>#REF!</v>
      </c>
      <c r="R166" s="674" t="e">
        <f t="shared" si="55"/>
        <v>#REF!</v>
      </c>
    </row>
    <row r="167" spans="1:18" s="666" customFormat="1" ht="24" outlineLevel="1">
      <c r="A167" s="722" t="s">
        <v>252</v>
      </c>
      <c r="B167" s="675"/>
      <c r="C167" s="676"/>
      <c r="D167" s="676"/>
      <c r="E167" s="677"/>
      <c r="F167" s="672"/>
      <c r="G167" s="673"/>
      <c r="H167" s="673"/>
      <c r="I167" s="673"/>
      <c r="J167" s="673"/>
      <c r="K167" s="673"/>
      <c r="L167" s="673"/>
      <c r="M167" s="673"/>
      <c r="N167" s="673"/>
      <c r="O167" s="673"/>
      <c r="P167" s="673"/>
      <c r="Q167" s="673"/>
      <c r="R167" s="674">
        <f t="shared" si="55"/>
        <v>0</v>
      </c>
    </row>
    <row r="168" spans="1:18" s="666" customFormat="1" outlineLevel="1">
      <c r="A168" s="722" t="s">
        <v>253</v>
      </c>
      <c r="B168" s="675"/>
      <c r="C168" s="676"/>
      <c r="D168" s="676"/>
      <c r="E168" s="677"/>
      <c r="F168" s="672"/>
      <c r="G168" s="673"/>
      <c r="H168" s="673"/>
      <c r="I168" s="673"/>
      <c r="J168" s="673"/>
      <c r="K168" s="673"/>
      <c r="L168" s="673"/>
      <c r="M168" s="673"/>
      <c r="N168" s="673"/>
      <c r="O168" s="673"/>
      <c r="P168" s="673"/>
      <c r="Q168" s="673"/>
      <c r="R168" s="674">
        <f t="shared" si="55"/>
        <v>0</v>
      </c>
    </row>
    <row r="169" spans="1:18" s="666" customFormat="1" outlineLevel="1">
      <c r="A169" s="722" t="s">
        <v>254</v>
      </c>
      <c r="B169" s="675"/>
      <c r="C169" s="676"/>
      <c r="D169" s="676"/>
      <c r="E169" s="677"/>
      <c r="F169" s="711"/>
      <c r="G169" s="673"/>
      <c r="H169" s="673"/>
      <c r="I169" s="673"/>
      <c r="J169" s="673"/>
      <c r="K169" s="713"/>
      <c r="L169" s="673"/>
      <c r="M169" s="673"/>
      <c r="N169" s="673"/>
      <c r="O169" s="673"/>
      <c r="P169" s="673"/>
      <c r="Q169" s="673"/>
      <c r="R169" s="674">
        <f t="shared" si="55"/>
        <v>0</v>
      </c>
    </row>
    <row r="170" spans="1:18" s="666" customFormat="1" outlineLevel="1">
      <c r="A170" s="722" t="s">
        <v>255</v>
      </c>
      <c r="B170" s="675"/>
      <c r="C170" s="676"/>
      <c r="D170" s="676"/>
      <c r="E170" s="677"/>
      <c r="F170" s="672"/>
      <c r="G170" s="673"/>
      <c r="H170" s="673"/>
      <c r="I170" s="673"/>
      <c r="J170" s="673"/>
      <c r="K170" s="673"/>
      <c r="L170" s="673"/>
      <c r="M170" s="673"/>
      <c r="N170" s="673"/>
      <c r="O170" s="673"/>
      <c r="P170" s="673"/>
      <c r="Q170" s="673"/>
      <c r="R170" s="674">
        <f t="shared" si="55"/>
        <v>0</v>
      </c>
    </row>
    <row r="171" spans="1:18" s="666" customFormat="1" outlineLevel="1">
      <c r="A171" s="725" t="s">
        <v>256</v>
      </c>
      <c r="B171" s="694"/>
      <c r="C171" s="695"/>
      <c r="D171" s="696"/>
      <c r="E171" s="697"/>
      <c r="F171" s="698">
        <f t="shared" ref="F171:Q171" si="56">(F161+G161)/2*F$4</f>
        <v>0</v>
      </c>
      <c r="G171" s="698">
        <f t="shared" si="56"/>
        <v>0</v>
      </c>
      <c r="H171" s="698" t="e">
        <f t="shared" si="56"/>
        <v>#REF!</v>
      </c>
      <c r="I171" s="698" t="e">
        <f t="shared" si="56"/>
        <v>#REF!</v>
      </c>
      <c r="J171" s="698" t="e">
        <f t="shared" si="56"/>
        <v>#REF!</v>
      </c>
      <c r="K171" s="698" t="e">
        <f t="shared" si="56"/>
        <v>#REF!</v>
      </c>
      <c r="L171" s="698" t="e">
        <f t="shared" si="56"/>
        <v>#REF!</v>
      </c>
      <c r="M171" s="698" t="e">
        <f t="shared" si="56"/>
        <v>#REF!</v>
      </c>
      <c r="N171" s="698" t="e">
        <f t="shared" si="56"/>
        <v>#REF!</v>
      </c>
      <c r="O171" s="698" t="e">
        <f t="shared" si="56"/>
        <v>#REF!</v>
      </c>
      <c r="P171" s="698" t="e">
        <f t="shared" si="56"/>
        <v>#REF!</v>
      </c>
      <c r="Q171" s="698" t="e">
        <f t="shared" si="56"/>
        <v>#REF!</v>
      </c>
      <c r="R171" s="699" t="e">
        <f t="shared" si="55"/>
        <v>#REF!</v>
      </c>
    </row>
    <row r="172" spans="1:18" s="666" customFormat="1" ht="12.75" outlineLevel="1" thickBot="1">
      <c r="A172" s="700" t="s">
        <v>257</v>
      </c>
      <c r="B172" s="701"/>
      <c r="C172" s="701"/>
      <c r="D172" s="702"/>
      <c r="E172" s="703"/>
      <c r="F172" s="704">
        <f t="shared" ref="F172:Q172" si="57">F171/F$4</f>
        <v>0</v>
      </c>
      <c r="G172" s="705">
        <f t="shared" si="57"/>
        <v>0</v>
      </c>
      <c r="H172" s="705" t="e">
        <f t="shared" si="57"/>
        <v>#REF!</v>
      </c>
      <c r="I172" s="705" t="e">
        <f t="shared" si="57"/>
        <v>#REF!</v>
      </c>
      <c r="J172" s="705" t="e">
        <f t="shared" si="57"/>
        <v>#REF!</v>
      </c>
      <c r="K172" s="705" t="e">
        <f t="shared" si="57"/>
        <v>#REF!</v>
      </c>
      <c r="L172" s="705" t="e">
        <f t="shared" si="57"/>
        <v>#REF!</v>
      </c>
      <c r="M172" s="705" t="e">
        <f t="shared" si="57"/>
        <v>#REF!</v>
      </c>
      <c r="N172" s="705" t="e">
        <f t="shared" si="57"/>
        <v>#REF!</v>
      </c>
      <c r="O172" s="705" t="e">
        <f t="shared" si="57"/>
        <v>#REF!</v>
      </c>
      <c r="P172" s="705" t="e">
        <f t="shared" si="57"/>
        <v>#REF!</v>
      </c>
      <c r="Q172" s="705" t="e">
        <f t="shared" si="57"/>
        <v>#REF!</v>
      </c>
      <c r="R172" s="706" t="e">
        <f>R171/R$4</f>
        <v>#REF!</v>
      </c>
    </row>
    <row r="173" spans="1:18" s="641" customFormat="1" ht="12.75" thickBot="1">
      <c r="A173" s="650" t="s">
        <v>272</v>
      </c>
      <c r="B173" s="651"/>
      <c r="C173" s="651"/>
      <c r="D173" s="652"/>
      <c r="E173" s="652"/>
      <c r="F173" s="651"/>
      <c r="G173" s="651"/>
      <c r="H173" s="651"/>
      <c r="I173" s="651"/>
      <c r="J173" s="651"/>
      <c r="K173" s="651"/>
      <c r="L173" s="651"/>
      <c r="M173" s="651"/>
      <c r="N173" s="651"/>
      <c r="O173" s="651"/>
      <c r="P173" s="651"/>
      <c r="Q173" s="651"/>
      <c r="R173" s="653"/>
    </row>
    <row r="174" spans="1:18" s="641" customFormat="1" ht="12.75" outlineLevel="1" thickBot="1">
      <c r="A174" s="654" t="s">
        <v>245</v>
      </c>
      <c r="B174" s="655"/>
      <c r="C174" s="655"/>
      <c r="D174" s="656"/>
      <c r="E174" s="657"/>
      <c r="F174" s="655"/>
      <c r="G174" s="655"/>
      <c r="H174" s="655"/>
      <c r="I174" s="655"/>
      <c r="J174" s="655"/>
      <c r="K174" s="655"/>
      <c r="L174" s="655"/>
      <c r="M174" s="655"/>
      <c r="N174" s="655"/>
      <c r="O174" s="655"/>
      <c r="P174" s="655"/>
      <c r="Q174" s="655"/>
      <c r="R174" s="658"/>
    </row>
    <row r="175" spans="1:18" s="666" customFormat="1" outlineLevel="1">
      <c r="A175" s="659" t="s">
        <v>259</v>
      </c>
      <c r="B175" s="707"/>
      <c r="C175" s="660">
        <f>B175</f>
        <v>0</v>
      </c>
      <c r="D175" s="708"/>
      <c r="E175" s="742"/>
      <c r="F175" s="663">
        <f>B175</f>
        <v>0</v>
      </c>
      <c r="G175" s="664">
        <f>(F175+F176+F177+F178-F180-F181-F182-F183-F184)</f>
        <v>0</v>
      </c>
      <c r="H175" s="664">
        <f>(G175+G176+G177+G178-G180-G181-G182-G183-G184)</f>
        <v>0</v>
      </c>
      <c r="I175" s="664" t="e">
        <f t="shared" ref="I175:Q175" si="58">(H175+H176+H177+H178-H180-H181-H182-H183-H184)</f>
        <v>#REF!</v>
      </c>
      <c r="J175" s="664" t="e">
        <f t="shared" si="58"/>
        <v>#REF!</v>
      </c>
      <c r="K175" s="664" t="e">
        <f>(J175+J176+J177+J178-J180-J181-J182-J183-J184)</f>
        <v>#REF!</v>
      </c>
      <c r="L175" s="664" t="e">
        <f t="shared" si="58"/>
        <v>#REF!</v>
      </c>
      <c r="M175" s="664" t="e">
        <f t="shared" si="58"/>
        <v>#REF!</v>
      </c>
      <c r="N175" s="664" t="e">
        <f t="shared" si="58"/>
        <v>#REF!</v>
      </c>
      <c r="O175" s="664" t="e">
        <f t="shared" si="58"/>
        <v>#REF!</v>
      </c>
      <c r="P175" s="664" t="e">
        <f t="shared" si="58"/>
        <v>#REF!</v>
      </c>
      <c r="Q175" s="664" t="e">
        <f t="shared" si="58"/>
        <v>#REF!</v>
      </c>
      <c r="R175" s="665" t="e">
        <f>(Q175+Q176+Q177+Q178-Q180-Q181-Q182-Q183-Q184)</f>
        <v>#REF!</v>
      </c>
    </row>
    <row r="176" spans="1:18" s="666" customFormat="1" outlineLevel="1">
      <c r="A176" s="710" t="s">
        <v>271</v>
      </c>
      <c r="B176" s="668"/>
      <c r="C176" s="669"/>
      <c r="D176" s="670"/>
      <c r="E176" s="671"/>
      <c r="F176" s="672"/>
      <c r="G176" s="673"/>
      <c r="H176" s="673" t="e">
        <f>ROUNDDOWN(((B35+B63)/2)*85%,0)</f>
        <v>#REF!</v>
      </c>
      <c r="I176" s="673"/>
      <c r="J176" s="673"/>
      <c r="K176" s="673"/>
      <c r="L176" s="673"/>
      <c r="M176" s="673"/>
      <c r="N176" s="673"/>
      <c r="O176" s="673"/>
      <c r="P176" s="673"/>
      <c r="Q176" s="673"/>
      <c r="R176" s="674" t="e">
        <f t="shared" ref="R176:R185" si="59">SUM(F176:Q176)</f>
        <v>#REF!</v>
      </c>
    </row>
    <row r="177" spans="1:18" s="666" customFormat="1" outlineLevel="1">
      <c r="A177" s="710" t="s">
        <v>248</v>
      </c>
      <c r="B177" s="675"/>
      <c r="C177" s="676"/>
      <c r="D177" s="676"/>
      <c r="E177" s="677"/>
      <c r="F177" s="672"/>
      <c r="G177" s="673"/>
      <c r="H177" s="673"/>
      <c r="I177" s="673"/>
      <c r="J177" s="673"/>
      <c r="K177" s="673"/>
      <c r="L177" s="673"/>
      <c r="M177" s="673"/>
      <c r="N177" s="673"/>
      <c r="O177" s="673"/>
      <c r="P177" s="673"/>
      <c r="Q177" s="673"/>
      <c r="R177" s="674">
        <f t="shared" si="59"/>
        <v>0</v>
      </c>
    </row>
    <row r="178" spans="1:18" s="666" customFormat="1" ht="12.75" outlineLevel="1" thickBot="1">
      <c r="A178" s="714" t="s">
        <v>249</v>
      </c>
      <c r="B178" s="675"/>
      <c r="C178" s="676"/>
      <c r="D178" s="676"/>
      <c r="E178" s="677"/>
      <c r="F178" s="672"/>
      <c r="G178" s="673"/>
      <c r="H178" s="673"/>
      <c r="I178" s="673"/>
      <c r="J178" s="673"/>
      <c r="K178" s="673"/>
      <c r="L178" s="673"/>
      <c r="M178" s="673"/>
      <c r="N178" s="673"/>
      <c r="O178" s="673"/>
      <c r="P178" s="673"/>
      <c r="Q178" s="673"/>
      <c r="R178" s="674">
        <f t="shared" si="59"/>
        <v>0</v>
      </c>
    </row>
    <row r="179" spans="1:18" s="641" customFormat="1" ht="12.75" outlineLevel="1" thickBot="1">
      <c r="A179" s="715" t="s">
        <v>250</v>
      </c>
      <c r="B179" s="675"/>
      <c r="C179" s="676"/>
      <c r="D179" s="676"/>
      <c r="E179" s="677"/>
      <c r="F179" s="683"/>
      <c r="G179" s="655"/>
      <c r="H179" s="655"/>
      <c r="I179" s="655"/>
      <c r="J179" s="655"/>
      <c r="K179" s="655"/>
      <c r="L179" s="655"/>
      <c r="M179" s="655"/>
      <c r="N179" s="655"/>
      <c r="O179" s="655"/>
      <c r="P179" s="655"/>
      <c r="Q179" s="655"/>
      <c r="R179" s="684">
        <f t="shared" si="59"/>
        <v>0</v>
      </c>
    </row>
    <row r="180" spans="1:18" s="666" customFormat="1" outlineLevel="1">
      <c r="A180" s="718" t="s">
        <v>251</v>
      </c>
      <c r="B180" s="675"/>
      <c r="C180" s="676"/>
      <c r="D180" s="676"/>
      <c r="E180" s="677"/>
      <c r="F180" s="672"/>
      <c r="G180" s="673"/>
      <c r="H180" s="673"/>
      <c r="I180" s="673"/>
      <c r="J180" s="673"/>
      <c r="K180" s="673"/>
      <c r="L180" s="673"/>
      <c r="M180" s="673"/>
      <c r="N180" s="673"/>
      <c r="O180" s="673"/>
      <c r="P180" s="673"/>
      <c r="Q180" s="688" t="e">
        <f>Q175</f>
        <v>#REF!</v>
      </c>
      <c r="R180" s="674" t="e">
        <f t="shared" si="59"/>
        <v>#REF!</v>
      </c>
    </row>
    <row r="181" spans="1:18" s="666" customFormat="1" ht="24" outlineLevel="1">
      <c r="A181" s="722" t="s">
        <v>252</v>
      </c>
      <c r="B181" s="675"/>
      <c r="C181" s="676"/>
      <c r="D181" s="676"/>
      <c r="E181" s="677"/>
      <c r="F181" s="672"/>
      <c r="G181" s="673"/>
      <c r="H181" s="673"/>
      <c r="I181" s="673"/>
      <c r="J181" s="673"/>
      <c r="K181" s="673"/>
      <c r="L181" s="673"/>
      <c r="M181" s="673"/>
      <c r="N181" s="673"/>
      <c r="O181" s="673"/>
      <c r="P181" s="673"/>
      <c r="Q181" s="673"/>
      <c r="R181" s="674">
        <f t="shared" si="59"/>
        <v>0</v>
      </c>
    </row>
    <row r="182" spans="1:18" s="666" customFormat="1" outlineLevel="1">
      <c r="A182" s="722" t="s">
        <v>253</v>
      </c>
      <c r="B182" s="675"/>
      <c r="C182" s="676"/>
      <c r="D182" s="676"/>
      <c r="E182" s="677"/>
      <c r="F182" s="672"/>
      <c r="G182" s="673"/>
      <c r="H182" s="673"/>
      <c r="I182" s="673"/>
      <c r="J182" s="673"/>
      <c r="K182" s="673"/>
      <c r="L182" s="673"/>
      <c r="M182" s="673"/>
      <c r="N182" s="673"/>
      <c r="O182" s="673"/>
      <c r="P182" s="673"/>
      <c r="Q182" s="673"/>
      <c r="R182" s="674">
        <f t="shared" si="59"/>
        <v>0</v>
      </c>
    </row>
    <row r="183" spans="1:18" s="666" customFormat="1" outlineLevel="1">
      <c r="A183" s="722" t="s">
        <v>254</v>
      </c>
      <c r="B183" s="675"/>
      <c r="C183" s="676"/>
      <c r="D183" s="676"/>
      <c r="E183" s="677"/>
      <c r="F183" s="711"/>
      <c r="G183" s="673"/>
      <c r="H183" s="673"/>
      <c r="I183" s="673"/>
      <c r="J183" s="673"/>
      <c r="K183" s="713"/>
      <c r="L183" s="673"/>
      <c r="M183" s="673"/>
      <c r="N183" s="673"/>
      <c r="O183" s="673"/>
      <c r="P183" s="673"/>
      <c r="Q183" s="673"/>
      <c r="R183" s="674">
        <f t="shared" si="59"/>
        <v>0</v>
      </c>
    </row>
    <row r="184" spans="1:18" s="666" customFormat="1" outlineLevel="1">
      <c r="A184" s="722" t="s">
        <v>255</v>
      </c>
      <c r="B184" s="675"/>
      <c r="C184" s="676"/>
      <c r="D184" s="676"/>
      <c r="E184" s="677"/>
      <c r="F184" s="672"/>
      <c r="G184" s="673"/>
      <c r="H184" s="673"/>
      <c r="I184" s="673"/>
      <c r="J184" s="673"/>
      <c r="K184" s="673"/>
      <c r="L184" s="673"/>
      <c r="M184" s="673"/>
      <c r="N184" s="673"/>
      <c r="O184" s="673"/>
      <c r="P184" s="673"/>
      <c r="Q184" s="673"/>
      <c r="R184" s="674">
        <f t="shared" si="59"/>
        <v>0</v>
      </c>
    </row>
    <row r="185" spans="1:18" s="666" customFormat="1" outlineLevel="1">
      <c r="A185" s="725" t="s">
        <v>256</v>
      </c>
      <c r="B185" s="694"/>
      <c r="C185" s="695"/>
      <c r="D185" s="696"/>
      <c r="E185" s="697"/>
      <c r="F185" s="698">
        <f>(F175+G175)/2*F$4</f>
        <v>0</v>
      </c>
      <c r="G185" s="698">
        <f>(G175+H175)/2*G$4</f>
        <v>0</v>
      </c>
      <c r="H185" s="698" t="e">
        <f t="shared" ref="H185:Q185" si="60">(H175+I175)/2*H$4</f>
        <v>#REF!</v>
      </c>
      <c r="I185" s="698" t="e">
        <f t="shared" si="60"/>
        <v>#REF!</v>
      </c>
      <c r="J185" s="698" t="e">
        <f t="shared" si="60"/>
        <v>#REF!</v>
      </c>
      <c r="K185" s="698" t="e">
        <f t="shared" si="60"/>
        <v>#REF!</v>
      </c>
      <c r="L185" s="698" t="e">
        <f t="shared" si="60"/>
        <v>#REF!</v>
      </c>
      <c r="M185" s="698" t="e">
        <f t="shared" si="60"/>
        <v>#REF!</v>
      </c>
      <c r="N185" s="698" t="e">
        <f t="shared" si="60"/>
        <v>#REF!</v>
      </c>
      <c r="O185" s="698" t="e">
        <f t="shared" si="60"/>
        <v>#REF!</v>
      </c>
      <c r="P185" s="698" t="e">
        <f t="shared" si="60"/>
        <v>#REF!</v>
      </c>
      <c r="Q185" s="698" t="e">
        <f t="shared" si="60"/>
        <v>#REF!</v>
      </c>
      <c r="R185" s="699" t="e">
        <f t="shared" si="59"/>
        <v>#REF!</v>
      </c>
    </row>
    <row r="186" spans="1:18" s="666" customFormat="1" ht="12.75" outlineLevel="1" thickBot="1">
      <c r="A186" s="700" t="s">
        <v>257</v>
      </c>
      <c r="B186" s="701"/>
      <c r="C186" s="701"/>
      <c r="D186" s="702"/>
      <c r="E186" s="703"/>
      <c r="F186" s="704">
        <f t="shared" ref="F186:Q186" si="61">F185/F$4</f>
        <v>0</v>
      </c>
      <c r="G186" s="705">
        <f t="shared" si="61"/>
        <v>0</v>
      </c>
      <c r="H186" s="705" t="e">
        <f t="shared" si="61"/>
        <v>#REF!</v>
      </c>
      <c r="I186" s="705" t="e">
        <f t="shared" si="61"/>
        <v>#REF!</v>
      </c>
      <c r="J186" s="705" t="e">
        <f t="shared" si="61"/>
        <v>#REF!</v>
      </c>
      <c r="K186" s="705" t="e">
        <f t="shared" si="61"/>
        <v>#REF!</v>
      </c>
      <c r="L186" s="705" t="e">
        <f t="shared" si="61"/>
        <v>#REF!</v>
      </c>
      <c r="M186" s="705" t="e">
        <f t="shared" si="61"/>
        <v>#REF!</v>
      </c>
      <c r="N186" s="705" t="e">
        <f t="shared" si="61"/>
        <v>#REF!</v>
      </c>
      <c r="O186" s="705" t="e">
        <f t="shared" si="61"/>
        <v>#REF!</v>
      </c>
      <c r="P186" s="705" t="e">
        <f t="shared" si="61"/>
        <v>#REF!</v>
      </c>
      <c r="Q186" s="705" t="e">
        <f t="shared" si="61"/>
        <v>#REF!</v>
      </c>
      <c r="R186" s="706" t="e">
        <f>R185/R$4</f>
        <v>#REF!</v>
      </c>
    </row>
    <row r="187" spans="1:18" s="754" customFormat="1">
      <c r="A187" s="748"/>
      <c r="B187" s="749"/>
      <c r="C187" s="749"/>
      <c r="D187" s="750"/>
      <c r="E187" s="749"/>
      <c r="F187" s="751"/>
      <c r="G187" s="752"/>
      <c r="H187" s="752"/>
      <c r="I187" s="752"/>
      <c r="J187" s="752"/>
      <c r="K187" s="752"/>
      <c r="L187" s="752"/>
      <c r="M187" s="752"/>
      <c r="N187" s="752"/>
      <c r="O187" s="752"/>
      <c r="P187" s="752"/>
      <c r="Q187" s="752"/>
      <c r="R187" s="753"/>
    </row>
    <row r="188" spans="1:18">
      <c r="A188" s="755" t="s">
        <v>273</v>
      </c>
      <c r="B188" s="756"/>
      <c r="C188" s="757"/>
      <c r="D188" s="758"/>
      <c r="E188" s="759"/>
      <c r="F188" s="760" t="e">
        <f>SUM(F17,F31,F45,F59,F73,F87,F101,F115,F129,F143,F157,F171,F185)</f>
        <v>#REF!</v>
      </c>
      <c r="G188" s="761" t="e">
        <f t="shared" ref="G188:Q188" si="62">SUM(G17,G31,G45,G59,G73,G87,G101,G115,G129,G143,G157,G171,G185)</f>
        <v>#REF!</v>
      </c>
      <c r="H188" s="761" t="e">
        <f t="shared" si="62"/>
        <v>#REF!</v>
      </c>
      <c r="I188" s="761" t="e">
        <f t="shared" si="62"/>
        <v>#REF!</v>
      </c>
      <c r="J188" s="761" t="e">
        <f t="shared" si="62"/>
        <v>#REF!</v>
      </c>
      <c r="K188" s="761" t="e">
        <f t="shared" si="62"/>
        <v>#REF!</v>
      </c>
      <c r="L188" s="761" t="e">
        <f t="shared" si="62"/>
        <v>#REF!</v>
      </c>
      <c r="M188" s="761" t="e">
        <f t="shared" si="62"/>
        <v>#REF!</v>
      </c>
      <c r="N188" s="761" t="e">
        <f t="shared" si="62"/>
        <v>#REF!</v>
      </c>
      <c r="O188" s="761" t="e">
        <f t="shared" si="62"/>
        <v>#REF!</v>
      </c>
      <c r="P188" s="761" t="e">
        <f t="shared" si="62"/>
        <v>#REF!</v>
      </c>
      <c r="Q188" s="761" t="e">
        <f t="shared" si="62"/>
        <v>#REF!</v>
      </c>
      <c r="R188" s="762" t="e">
        <f>SUM(R17,R31,R45,R59,R73,R87,R101,R115,R129,R143,R157,R171,R185)</f>
        <v>#REF!</v>
      </c>
    </row>
    <row r="189" spans="1:18" s="666" customFormat="1">
      <c r="A189" s="763" t="s">
        <v>257</v>
      </c>
      <c r="B189" s="764"/>
      <c r="C189" s="764"/>
      <c r="D189" s="765"/>
      <c r="E189" s="766"/>
      <c r="F189" s="767" t="e">
        <f>F188/F$4</f>
        <v>#REF!</v>
      </c>
      <c r="G189" s="768" t="e">
        <f t="shared" ref="G189:Q189" si="63">G188/G$4</f>
        <v>#REF!</v>
      </c>
      <c r="H189" s="768" t="e">
        <f t="shared" si="63"/>
        <v>#REF!</v>
      </c>
      <c r="I189" s="768" t="e">
        <f t="shared" si="63"/>
        <v>#REF!</v>
      </c>
      <c r="J189" s="768" t="e">
        <f t="shared" si="63"/>
        <v>#REF!</v>
      </c>
      <c r="K189" s="768" t="e">
        <f t="shared" si="63"/>
        <v>#REF!</v>
      </c>
      <c r="L189" s="768" t="e">
        <f t="shared" si="63"/>
        <v>#REF!</v>
      </c>
      <c r="M189" s="768" t="e">
        <f t="shared" si="63"/>
        <v>#REF!</v>
      </c>
      <c r="N189" s="768" t="e">
        <f t="shared" si="63"/>
        <v>#REF!</v>
      </c>
      <c r="O189" s="768" t="e">
        <f t="shared" si="63"/>
        <v>#REF!</v>
      </c>
      <c r="P189" s="768" t="e">
        <f t="shared" si="63"/>
        <v>#REF!</v>
      </c>
      <c r="Q189" s="768" t="e">
        <f t="shared" si="63"/>
        <v>#REF!</v>
      </c>
      <c r="R189" s="769" t="e">
        <f>R188/R$4</f>
        <v>#REF!</v>
      </c>
    </row>
    <row r="190" spans="1:18" ht="12.75" thickBot="1">
      <c r="A190" s="770" t="s">
        <v>274</v>
      </c>
      <c r="B190" s="771" t="e">
        <f>SUM(B7,B21,B35,B49,B63,B77,B91,B105,B119,B133,B147,B161,B175)</f>
        <v>#REF!</v>
      </c>
      <c r="C190" s="771" t="e">
        <f>SUM(C7,C21,C35,C49,C63,C77,C91,C105,C119,C133,C147,C161,C175)</f>
        <v>#REF!</v>
      </c>
      <c r="D190" s="772" t="e">
        <f>SUM(D7,D21,D35,D49,D63,D77,D91,D105,D119,D133,D147,D161,D175)</f>
        <v>#REF!</v>
      </c>
      <c r="E190" s="773" t="e">
        <f>SUM(E7,E21,E35,E49,E63,E77,E91,E105,E119,E133,E147,E161,E175)</f>
        <v>#REF!</v>
      </c>
      <c r="F190" s="774" t="e">
        <f>SUM(F7,F21,F35,F49,F63,F77,F91,F105,F119,F133,F147,F161,F175)</f>
        <v>#REF!</v>
      </c>
      <c r="G190" s="775" t="e">
        <f t="shared" ref="G190:Q190" si="64">SUM(G7,G21,G35,G49,G63,G77,G91,G105,G119,G133,G147,G161,G175)</f>
        <v>#REF!</v>
      </c>
      <c r="H190" s="775" t="e">
        <f t="shared" si="64"/>
        <v>#REF!</v>
      </c>
      <c r="I190" s="775" t="e">
        <f t="shared" si="64"/>
        <v>#REF!</v>
      </c>
      <c r="J190" s="775" t="e">
        <f t="shared" si="64"/>
        <v>#REF!</v>
      </c>
      <c r="K190" s="775" t="e">
        <f t="shared" si="64"/>
        <v>#REF!</v>
      </c>
      <c r="L190" s="775" t="e">
        <f t="shared" si="64"/>
        <v>#REF!</v>
      </c>
      <c r="M190" s="775" t="e">
        <f t="shared" si="64"/>
        <v>#REF!</v>
      </c>
      <c r="N190" s="775" t="e">
        <f t="shared" si="64"/>
        <v>#REF!</v>
      </c>
      <c r="O190" s="775" t="e">
        <f t="shared" si="64"/>
        <v>#REF!</v>
      </c>
      <c r="P190" s="775" t="e">
        <f t="shared" si="64"/>
        <v>#REF!</v>
      </c>
      <c r="Q190" s="775" t="e">
        <f t="shared" si="64"/>
        <v>#REF!</v>
      </c>
      <c r="R190" s="776" t="e">
        <f>SUM(R7,R21,R35,R49,R63,R77,R91,R105,R119,R133,R147,R161,R175)</f>
        <v>#REF!</v>
      </c>
    </row>
    <row r="191" spans="1:18" s="782" customFormat="1" ht="12" hidden="1" customHeight="1">
      <c r="A191" s="777">
        <v>38139</v>
      </c>
      <c r="B191" s="778"/>
      <c r="C191" s="778"/>
      <c r="D191" s="779"/>
      <c r="E191" s="780" t="s">
        <v>275</v>
      </c>
      <c r="F191" s="778">
        <f t="shared" ref="F191:N191" si="65">(F176-F180-F181-F182-F183-F184+F162-F170-F169-F168-F167-F166)*$D$217</f>
        <v>0</v>
      </c>
      <c r="G191" s="778">
        <f>(G176-G180-G181-G182-G183-G184+G162-G170-G169-G168-G167-G166)*$D$217</f>
        <v>0</v>
      </c>
      <c r="H191" s="778" t="e">
        <f t="shared" si="65"/>
        <v>#REF!</v>
      </c>
      <c r="I191" s="778">
        <f t="shared" si="65"/>
        <v>0</v>
      </c>
      <c r="J191" s="778">
        <f t="shared" si="65"/>
        <v>0</v>
      </c>
      <c r="K191" s="778">
        <f t="shared" si="65"/>
        <v>0</v>
      </c>
      <c r="L191" s="778">
        <f t="shared" si="65"/>
        <v>0</v>
      </c>
      <c r="M191" s="778">
        <f t="shared" si="65"/>
        <v>0</v>
      </c>
      <c r="N191" s="778">
        <f t="shared" si="65"/>
        <v>0</v>
      </c>
      <c r="O191" s="778">
        <f>(O176-O180-O181-O182-O183-O184+O162-O170-O169-O168-O167-O166)*SUM($D$199:$D$205)</f>
        <v>0</v>
      </c>
      <c r="P191" s="778">
        <f>(P176-P180-P181-P182-P183-P184+P162-P170-P169-P168-P167-P166)*SUM($D$199:$D$203)</f>
        <v>0</v>
      </c>
      <c r="Q191" s="778" t="e">
        <f>(Q176-Q180-Q181-Q182-Q183-Q184+Q162-Q170-Q169-Q168-Q167-Q166)*SUM($D$199:$D$200)</f>
        <v>#REF!</v>
      </c>
      <c r="R191" s="781" t="e">
        <f>SUM(F191:Q191)</f>
        <v>#REF!</v>
      </c>
    </row>
    <row r="192" spans="1:18" s="782" customFormat="1" ht="12" hidden="1" customHeight="1">
      <c r="A192" s="777">
        <v>38261</v>
      </c>
      <c r="B192" s="778"/>
      <c r="C192" s="778"/>
      <c r="D192" s="779"/>
      <c r="E192" s="780" t="s">
        <v>276</v>
      </c>
      <c r="F192" s="778">
        <f t="shared" ref="F192:N192" si="66">(F176-F180-F181-F182-F183-F184+F162-F170-F169-F168-F167-F166)*$F$217</f>
        <v>0</v>
      </c>
      <c r="G192" s="778">
        <f>(G176-G180-G181-G182-G183-G184+G162-G170-G169-G168-G167-G166)*$F$217</f>
        <v>0</v>
      </c>
      <c r="H192" s="778" t="e">
        <f t="shared" si="66"/>
        <v>#REF!</v>
      </c>
      <c r="I192" s="778">
        <f t="shared" si="66"/>
        <v>0</v>
      </c>
      <c r="J192" s="778">
        <f t="shared" si="66"/>
        <v>0</v>
      </c>
      <c r="K192" s="778">
        <f t="shared" si="66"/>
        <v>0</v>
      </c>
      <c r="L192" s="778">
        <f t="shared" si="66"/>
        <v>0</v>
      </c>
      <c r="M192" s="778">
        <f t="shared" si="66"/>
        <v>0</v>
      </c>
      <c r="N192" s="778">
        <f t="shared" si="66"/>
        <v>0</v>
      </c>
      <c r="O192" s="778">
        <f>(O176-O180-O181-O182-O183-O184+O162-O170-O169-O168-O167-O166)*SUM($F$199:$F$205)</f>
        <v>0</v>
      </c>
      <c r="P192" s="778">
        <f>(P176-P180-P181-P182-P183-P184+P162-P170-P169-P168-P167-P166)*SUM($F$199:$F$203)</f>
        <v>0</v>
      </c>
      <c r="Q192" s="778" t="e">
        <f>(Q176-Q180-Q181-Q182-Q183-Q184+Q162-Q170-Q169-Q168-Q167-Q166)*SUM($F$199:$F$200)</f>
        <v>#REF!</v>
      </c>
      <c r="R192" s="781" t="e">
        <f>SUM(F192:Q192)</f>
        <v>#REF!</v>
      </c>
    </row>
    <row r="193" spans="1:18" s="782" customFormat="1" ht="12" hidden="1" customHeight="1">
      <c r="A193" s="783"/>
      <c r="B193" s="778"/>
      <c r="C193" s="778"/>
      <c r="D193" s="779"/>
      <c r="E193" s="784"/>
      <c r="F193" s="778"/>
      <c r="G193" s="778"/>
      <c r="H193" s="778"/>
      <c r="I193" s="778"/>
      <c r="J193" s="778"/>
      <c r="K193" s="778"/>
      <c r="L193" s="778"/>
      <c r="M193" s="778"/>
      <c r="N193" s="778"/>
      <c r="O193" s="778"/>
      <c r="P193" s="778"/>
      <c r="Q193" s="778"/>
      <c r="R193" s="781"/>
    </row>
    <row r="194" spans="1:18" s="782" customFormat="1" ht="12" hidden="1" customHeight="1">
      <c r="A194" s="783"/>
      <c r="B194" s="778"/>
      <c r="C194" s="778"/>
      <c r="D194" s="779"/>
      <c r="E194" s="784"/>
      <c r="F194" s="778"/>
      <c r="G194" s="778"/>
      <c r="H194" s="778"/>
      <c r="I194" s="778"/>
      <c r="J194" s="778"/>
      <c r="K194" s="778"/>
      <c r="L194" s="778"/>
      <c r="M194" s="778"/>
      <c r="N194" s="778"/>
      <c r="O194" s="778"/>
      <c r="P194" s="778"/>
      <c r="Q194" s="778"/>
      <c r="R194" s="781"/>
    </row>
    <row r="195" spans="1:18" s="782" customFormat="1" ht="12" hidden="1" customHeight="1">
      <c r="A195" s="783"/>
      <c r="B195" s="778"/>
      <c r="C195" s="778"/>
      <c r="D195" s="779"/>
      <c r="E195" s="784"/>
      <c r="F195" s="778"/>
      <c r="G195" s="778"/>
      <c r="H195" s="778"/>
      <c r="I195" s="778"/>
      <c r="J195" s="778"/>
      <c r="K195" s="778"/>
      <c r="L195" s="778"/>
      <c r="M195" s="778"/>
      <c r="N195" s="778"/>
      <c r="O195" s="778"/>
      <c r="P195" s="778"/>
      <c r="Q195" s="778"/>
      <c r="R195" s="781"/>
    </row>
    <row r="196" spans="1:18" s="782" customFormat="1" ht="12" hidden="1" customHeight="1">
      <c r="A196" s="783"/>
      <c r="B196" s="778"/>
      <c r="C196" s="778"/>
      <c r="D196" s="779"/>
      <c r="E196" s="784"/>
      <c r="F196" s="778"/>
      <c r="G196" s="778"/>
      <c r="H196" s="778"/>
      <c r="I196" s="778"/>
      <c r="J196" s="778"/>
      <c r="K196" s="778"/>
      <c r="L196" s="778"/>
      <c r="M196" s="778"/>
      <c r="N196" s="778"/>
      <c r="O196" s="778"/>
      <c r="P196" s="778"/>
      <c r="Q196" s="778"/>
      <c r="R196" s="781"/>
    </row>
    <row r="197" spans="1:18" ht="12" hidden="1" customHeight="1"/>
    <row r="198" spans="1:18" s="792" customFormat="1" ht="22.5" hidden="1" customHeight="1">
      <c r="A198" s="790"/>
      <c r="B198" s="791"/>
      <c r="C198" s="2309" t="s">
        <v>275</v>
      </c>
      <c r="D198" s="2309"/>
      <c r="E198" s="2309" t="s">
        <v>276</v>
      </c>
      <c r="F198" s="2309"/>
      <c r="G198" s="2309" t="s">
        <v>277</v>
      </c>
      <c r="H198" s="2309"/>
      <c r="I198" s="2310" t="s">
        <v>278</v>
      </c>
      <c r="J198" s="2310"/>
      <c r="K198" s="2310" t="s">
        <v>279</v>
      </c>
      <c r="L198" s="2310"/>
      <c r="M198" s="2309" t="s">
        <v>280</v>
      </c>
      <c r="N198" s="2309"/>
      <c r="O198" s="2310" t="s">
        <v>281</v>
      </c>
      <c r="P198" s="2310"/>
      <c r="Q198" s="2310" t="s">
        <v>282</v>
      </c>
      <c r="R198" s="2310"/>
    </row>
    <row r="199" spans="1:18" ht="12" hidden="1" customHeight="1">
      <c r="A199" s="793">
        <v>1</v>
      </c>
      <c r="B199" s="794">
        <v>10</v>
      </c>
      <c r="C199" s="795">
        <v>4.5</v>
      </c>
      <c r="D199" s="796">
        <f t="shared" ref="D199:D216" si="67">C199*$B199</f>
        <v>45</v>
      </c>
      <c r="E199" s="797"/>
      <c r="F199" s="798">
        <f t="shared" ref="F199:F216" si="68">E199*$B199</f>
        <v>0</v>
      </c>
      <c r="G199" s="795"/>
      <c r="H199" s="798">
        <f t="shared" ref="H199:H216" si="69">G199*$B199</f>
        <v>0</v>
      </c>
      <c r="I199" s="798"/>
      <c r="J199" s="798">
        <f t="shared" ref="J199:J216" si="70">I199*$B199</f>
        <v>0</v>
      </c>
      <c r="K199" s="798"/>
      <c r="L199" s="798">
        <f t="shared" ref="L199:L216" si="71">K199*$B199</f>
        <v>0</v>
      </c>
      <c r="M199" s="795"/>
      <c r="N199" s="798">
        <f t="shared" ref="N199:N216" si="72">M199*$B199</f>
        <v>0</v>
      </c>
      <c r="O199" s="798"/>
      <c r="P199" s="798">
        <f t="shared" ref="P199:P216" si="73">O199*$B199</f>
        <v>0</v>
      </c>
      <c r="Q199" s="798"/>
      <c r="R199" s="798">
        <f t="shared" ref="R199:R216" si="74">Q199*$B199</f>
        <v>0</v>
      </c>
    </row>
    <row r="200" spans="1:18" ht="12" hidden="1" customHeight="1">
      <c r="A200" s="799">
        <v>2</v>
      </c>
      <c r="B200" s="800">
        <v>10</v>
      </c>
      <c r="C200" s="801">
        <v>5</v>
      </c>
      <c r="D200" s="802">
        <f t="shared" si="67"/>
        <v>50</v>
      </c>
      <c r="E200" s="803"/>
      <c r="F200" s="804">
        <f t="shared" si="68"/>
        <v>0</v>
      </c>
      <c r="G200" s="801"/>
      <c r="H200" s="804">
        <f t="shared" si="69"/>
        <v>0</v>
      </c>
      <c r="I200" s="804"/>
      <c r="J200" s="804">
        <f t="shared" si="70"/>
        <v>0</v>
      </c>
      <c r="K200" s="804"/>
      <c r="L200" s="804">
        <f t="shared" si="71"/>
        <v>0</v>
      </c>
      <c r="M200" s="801"/>
      <c r="N200" s="804">
        <f t="shared" si="72"/>
        <v>0</v>
      </c>
      <c r="O200" s="804"/>
      <c r="P200" s="804">
        <f t="shared" si="73"/>
        <v>0</v>
      </c>
      <c r="Q200" s="804"/>
      <c r="R200" s="804">
        <f t="shared" si="74"/>
        <v>0</v>
      </c>
    </row>
    <row r="201" spans="1:18" ht="12.75" hidden="1" customHeight="1" thickBot="1">
      <c r="A201" s="805">
        <v>3</v>
      </c>
      <c r="B201" s="806">
        <v>10</v>
      </c>
      <c r="C201" s="807">
        <v>5</v>
      </c>
      <c r="D201" s="808">
        <f t="shared" si="67"/>
        <v>50</v>
      </c>
      <c r="E201" s="809">
        <v>0.1</v>
      </c>
      <c r="F201" s="810">
        <f t="shared" si="68"/>
        <v>1</v>
      </c>
      <c r="G201" s="807">
        <v>0.1</v>
      </c>
      <c r="H201" s="810">
        <f t="shared" si="69"/>
        <v>1</v>
      </c>
      <c r="I201" s="810"/>
      <c r="J201" s="810">
        <f t="shared" si="70"/>
        <v>0</v>
      </c>
      <c r="K201" s="810"/>
      <c r="L201" s="810">
        <f t="shared" si="71"/>
        <v>0</v>
      </c>
      <c r="M201" s="807"/>
      <c r="N201" s="810">
        <f t="shared" si="72"/>
        <v>0</v>
      </c>
      <c r="O201" s="810">
        <v>5</v>
      </c>
      <c r="P201" s="810">
        <f t="shared" si="73"/>
        <v>50</v>
      </c>
      <c r="Q201" s="810">
        <v>5</v>
      </c>
      <c r="R201" s="810">
        <f t="shared" si="74"/>
        <v>50</v>
      </c>
    </row>
    <row r="202" spans="1:18" ht="12" hidden="1" customHeight="1">
      <c r="A202" s="793">
        <v>1</v>
      </c>
      <c r="B202" s="794">
        <v>10</v>
      </c>
      <c r="C202" s="795">
        <v>4.5</v>
      </c>
      <c r="D202" s="796">
        <f t="shared" si="67"/>
        <v>45</v>
      </c>
      <c r="E202" s="797">
        <v>0.5</v>
      </c>
      <c r="F202" s="798">
        <f t="shared" si="68"/>
        <v>5</v>
      </c>
      <c r="G202" s="795">
        <v>0.5</v>
      </c>
      <c r="H202" s="798">
        <f t="shared" si="69"/>
        <v>5</v>
      </c>
      <c r="I202" s="798"/>
      <c r="J202" s="798">
        <f t="shared" si="70"/>
        <v>0</v>
      </c>
      <c r="K202" s="798">
        <v>0.2</v>
      </c>
      <c r="L202" s="798">
        <f t="shared" si="71"/>
        <v>2</v>
      </c>
      <c r="M202" s="795">
        <v>0.4</v>
      </c>
      <c r="N202" s="798">
        <f t="shared" si="72"/>
        <v>4</v>
      </c>
      <c r="O202" s="798">
        <v>10</v>
      </c>
      <c r="P202" s="798">
        <f t="shared" si="73"/>
        <v>100</v>
      </c>
      <c r="Q202" s="798">
        <v>10</v>
      </c>
      <c r="R202" s="798">
        <f t="shared" si="74"/>
        <v>100</v>
      </c>
    </row>
    <row r="203" spans="1:18" ht="12" hidden="1" customHeight="1">
      <c r="A203" s="799">
        <v>2</v>
      </c>
      <c r="B203" s="800">
        <v>10</v>
      </c>
      <c r="C203" s="801">
        <v>3.5</v>
      </c>
      <c r="D203" s="802">
        <f t="shared" si="67"/>
        <v>35</v>
      </c>
      <c r="E203" s="803">
        <v>0.8</v>
      </c>
      <c r="F203" s="804">
        <f t="shared" si="68"/>
        <v>8</v>
      </c>
      <c r="G203" s="801">
        <v>0.8</v>
      </c>
      <c r="H203" s="804">
        <f t="shared" si="69"/>
        <v>8</v>
      </c>
      <c r="I203" s="804"/>
      <c r="J203" s="804">
        <f t="shared" si="70"/>
        <v>0</v>
      </c>
      <c r="K203" s="804">
        <v>0.3</v>
      </c>
      <c r="L203" s="804">
        <f t="shared" si="71"/>
        <v>3</v>
      </c>
      <c r="M203" s="801">
        <v>0.7</v>
      </c>
      <c r="N203" s="804">
        <f t="shared" si="72"/>
        <v>7</v>
      </c>
      <c r="O203" s="804">
        <v>10</v>
      </c>
      <c r="P203" s="804">
        <f t="shared" si="73"/>
        <v>100</v>
      </c>
      <c r="Q203" s="804">
        <v>10</v>
      </c>
      <c r="R203" s="804">
        <f t="shared" si="74"/>
        <v>100</v>
      </c>
    </row>
    <row r="204" spans="1:18" ht="12.75" hidden="1" customHeight="1" thickBot="1">
      <c r="A204" s="805">
        <v>3</v>
      </c>
      <c r="B204" s="806">
        <v>10</v>
      </c>
      <c r="C204" s="807">
        <v>2</v>
      </c>
      <c r="D204" s="808">
        <f t="shared" si="67"/>
        <v>20</v>
      </c>
      <c r="E204" s="809">
        <v>1.2</v>
      </c>
      <c r="F204" s="810">
        <f t="shared" si="68"/>
        <v>12</v>
      </c>
      <c r="G204" s="807">
        <v>1.2</v>
      </c>
      <c r="H204" s="810">
        <f t="shared" si="69"/>
        <v>12</v>
      </c>
      <c r="I204" s="810"/>
      <c r="J204" s="810">
        <f t="shared" si="70"/>
        <v>0</v>
      </c>
      <c r="K204" s="810">
        <v>0.5</v>
      </c>
      <c r="L204" s="810">
        <f t="shared" si="71"/>
        <v>5</v>
      </c>
      <c r="M204" s="807">
        <v>1.1000000000000001</v>
      </c>
      <c r="N204" s="810">
        <f t="shared" si="72"/>
        <v>11</v>
      </c>
      <c r="O204" s="810">
        <v>10</v>
      </c>
      <c r="P204" s="810">
        <f t="shared" si="73"/>
        <v>100</v>
      </c>
      <c r="Q204" s="810">
        <v>10</v>
      </c>
      <c r="R204" s="810">
        <f t="shared" si="74"/>
        <v>100</v>
      </c>
    </row>
    <row r="205" spans="1:18" ht="12" hidden="1" customHeight="1">
      <c r="A205" s="793">
        <v>1</v>
      </c>
      <c r="B205" s="794">
        <v>10</v>
      </c>
      <c r="C205" s="795">
        <v>1</v>
      </c>
      <c r="D205" s="796">
        <f t="shared" si="67"/>
        <v>10</v>
      </c>
      <c r="E205" s="797">
        <v>1.5</v>
      </c>
      <c r="F205" s="798">
        <f t="shared" si="68"/>
        <v>15</v>
      </c>
      <c r="G205" s="795">
        <v>1.5</v>
      </c>
      <c r="H205" s="798">
        <f t="shared" si="69"/>
        <v>15</v>
      </c>
      <c r="I205" s="798"/>
      <c r="J205" s="798">
        <f t="shared" si="70"/>
        <v>0</v>
      </c>
      <c r="K205" s="798">
        <v>1</v>
      </c>
      <c r="L205" s="798">
        <f t="shared" si="71"/>
        <v>10</v>
      </c>
      <c r="M205" s="795">
        <v>1.3</v>
      </c>
      <c r="N205" s="798">
        <f t="shared" si="72"/>
        <v>13</v>
      </c>
      <c r="O205" s="798">
        <v>10</v>
      </c>
      <c r="P205" s="798">
        <f t="shared" si="73"/>
        <v>100</v>
      </c>
      <c r="Q205" s="798">
        <v>10</v>
      </c>
      <c r="R205" s="798">
        <f t="shared" si="74"/>
        <v>100</v>
      </c>
    </row>
    <row r="206" spans="1:18" ht="12" hidden="1" customHeight="1">
      <c r="A206" s="799">
        <v>2</v>
      </c>
      <c r="B206" s="800">
        <v>10</v>
      </c>
      <c r="C206" s="801">
        <v>0.5</v>
      </c>
      <c r="D206" s="802">
        <f t="shared" si="67"/>
        <v>5</v>
      </c>
      <c r="E206" s="803">
        <v>2</v>
      </c>
      <c r="F206" s="804">
        <f t="shared" si="68"/>
        <v>20</v>
      </c>
      <c r="G206" s="801">
        <v>2</v>
      </c>
      <c r="H206" s="804">
        <f t="shared" si="69"/>
        <v>20</v>
      </c>
      <c r="I206" s="804"/>
      <c r="J206" s="804">
        <f t="shared" si="70"/>
        <v>0</v>
      </c>
      <c r="K206" s="804">
        <v>1</v>
      </c>
      <c r="L206" s="804">
        <f t="shared" si="71"/>
        <v>10</v>
      </c>
      <c r="M206" s="801">
        <v>1.5</v>
      </c>
      <c r="N206" s="804">
        <f t="shared" si="72"/>
        <v>15</v>
      </c>
      <c r="O206" s="804">
        <v>10</v>
      </c>
      <c r="P206" s="804">
        <f t="shared" si="73"/>
        <v>100</v>
      </c>
      <c r="Q206" s="804">
        <v>10</v>
      </c>
      <c r="R206" s="804">
        <f t="shared" si="74"/>
        <v>100</v>
      </c>
    </row>
    <row r="207" spans="1:18" ht="12.75" hidden="1" customHeight="1" thickBot="1">
      <c r="A207" s="805">
        <v>3</v>
      </c>
      <c r="B207" s="806">
        <v>10</v>
      </c>
      <c r="C207" s="807"/>
      <c r="D207" s="808">
        <f t="shared" si="67"/>
        <v>0</v>
      </c>
      <c r="E207" s="809">
        <v>2.5</v>
      </c>
      <c r="F207" s="810">
        <f t="shared" si="68"/>
        <v>25</v>
      </c>
      <c r="G207" s="807">
        <v>2.5</v>
      </c>
      <c r="H207" s="810">
        <f t="shared" si="69"/>
        <v>25</v>
      </c>
      <c r="I207" s="810"/>
      <c r="J207" s="810">
        <f t="shared" si="70"/>
        <v>0</v>
      </c>
      <c r="K207" s="810">
        <v>1</v>
      </c>
      <c r="L207" s="810">
        <f t="shared" si="71"/>
        <v>10</v>
      </c>
      <c r="M207" s="807">
        <v>1.6</v>
      </c>
      <c r="N207" s="810">
        <f t="shared" si="72"/>
        <v>16</v>
      </c>
      <c r="O207" s="810">
        <v>10</v>
      </c>
      <c r="P207" s="810">
        <f t="shared" si="73"/>
        <v>100</v>
      </c>
      <c r="Q207" s="810">
        <v>10</v>
      </c>
      <c r="R207" s="810">
        <f t="shared" si="74"/>
        <v>100</v>
      </c>
    </row>
    <row r="208" spans="1:18" ht="12" hidden="1" customHeight="1">
      <c r="A208" s="793">
        <v>1</v>
      </c>
      <c r="B208" s="794">
        <v>10</v>
      </c>
      <c r="C208" s="795"/>
      <c r="D208" s="796">
        <f t="shared" si="67"/>
        <v>0</v>
      </c>
      <c r="E208" s="797"/>
      <c r="F208" s="798">
        <f t="shared" si="68"/>
        <v>0</v>
      </c>
      <c r="G208" s="795"/>
      <c r="H208" s="798">
        <f t="shared" si="69"/>
        <v>0</v>
      </c>
      <c r="I208" s="798">
        <v>6</v>
      </c>
      <c r="J208" s="798">
        <f t="shared" si="70"/>
        <v>60</v>
      </c>
      <c r="K208" s="798">
        <v>1</v>
      </c>
      <c r="L208" s="798">
        <f t="shared" si="71"/>
        <v>10</v>
      </c>
      <c r="M208" s="795">
        <v>1.6</v>
      </c>
      <c r="N208" s="798">
        <f t="shared" si="72"/>
        <v>16</v>
      </c>
      <c r="O208" s="798">
        <v>15</v>
      </c>
      <c r="P208" s="798">
        <f t="shared" si="73"/>
        <v>150</v>
      </c>
      <c r="Q208" s="798">
        <v>15</v>
      </c>
      <c r="R208" s="798">
        <f t="shared" si="74"/>
        <v>150</v>
      </c>
    </row>
    <row r="209" spans="1:19" ht="12" hidden="1" customHeight="1">
      <c r="A209" s="799">
        <v>2</v>
      </c>
      <c r="B209" s="800">
        <v>10</v>
      </c>
      <c r="C209" s="801"/>
      <c r="D209" s="802">
        <f t="shared" si="67"/>
        <v>0</v>
      </c>
      <c r="E209" s="803"/>
      <c r="F209" s="804">
        <f t="shared" si="68"/>
        <v>0</v>
      </c>
      <c r="G209" s="801"/>
      <c r="H209" s="804">
        <f t="shared" si="69"/>
        <v>0</v>
      </c>
      <c r="I209" s="804">
        <v>8</v>
      </c>
      <c r="J209" s="804">
        <f t="shared" si="70"/>
        <v>80</v>
      </c>
      <c r="K209" s="804">
        <v>1</v>
      </c>
      <c r="L209" s="804">
        <f t="shared" si="71"/>
        <v>10</v>
      </c>
      <c r="M209" s="801">
        <v>1.6</v>
      </c>
      <c r="N209" s="804">
        <f t="shared" si="72"/>
        <v>16</v>
      </c>
      <c r="O209" s="804">
        <v>15</v>
      </c>
      <c r="P209" s="804">
        <f t="shared" si="73"/>
        <v>150</v>
      </c>
      <c r="Q209" s="804">
        <v>15</v>
      </c>
      <c r="R209" s="804">
        <f t="shared" si="74"/>
        <v>150</v>
      </c>
    </row>
    <row r="210" spans="1:19" ht="12.75" hidden="1" customHeight="1" thickBot="1">
      <c r="A210" s="805">
        <v>3</v>
      </c>
      <c r="B210" s="806">
        <v>10</v>
      </c>
      <c r="C210" s="807"/>
      <c r="D210" s="808">
        <f t="shared" si="67"/>
        <v>0</v>
      </c>
      <c r="E210" s="809"/>
      <c r="F210" s="810">
        <f t="shared" si="68"/>
        <v>0</v>
      </c>
      <c r="G210" s="807"/>
      <c r="H210" s="810">
        <f t="shared" si="69"/>
        <v>0</v>
      </c>
      <c r="I210" s="810">
        <v>10</v>
      </c>
      <c r="J210" s="810">
        <f t="shared" si="70"/>
        <v>100</v>
      </c>
      <c r="K210" s="810">
        <v>1</v>
      </c>
      <c r="L210" s="810">
        <f t="shared" si="71"/>
        <v>10</v>
      </c>
      <c r="M210" s="807">
        <v>1.6</v>
      </c>
      <c r="N210" s="810">
        <f t="shared" si="72"/>
        <v>16</v>
      </c>
      <c r="O210" s="810">
        <v>15</v>
      </c>
      <c r="P210" s="810">
        <f t="shared" si="73"/>
        <v>150</v>
      </c>
      <c r="Q210" s="810">
        <v>15</v>
      </c>
      <c r="R210" s="810">
        <f t="shared" si="74"/>
        <v>150</v>
      </c>
    </row>
    <row r="211" spans="1:19" ht="12" hidden="1" customHeight="1">
      <c r="A211" s="793">
        <v>1</v>
      </c>
      <c r="B211" s="794">
        <v>10</v>
      </c>
      <c r="C211" s="795"/>
      <c r="D211" s="796">
        <f t="shared" si="67"/>
        <v>0</v>
      </c>
      <c r="E211" s="797"/>
      <c r="F211" s="798">
        <f t="shared" si="68"/>
        <v>0</v>
      </c>
      <c r="G211" s="795"/>
      <c r="H211" s="798">
        <f t="shared" si="69"/>
        <v>0</v>
      </c>
      <c r="I211" s="798">
        <v>10</v>
      </c>
      <c r="J211" s="798">
        <f t="shared" si="70"/>
        <v>100</v>
      </c>
      <c r="K211" s="798">
        <v>1</v>
      </c>
      <c r="L211" s="798">
        <f t="shared" si="71"/>
        <v>10</v>
      </c>
      <c r="M211" s="795">
        <v>1.5</v>
      </c>
      <c r="N211" s="798">
        <f t="shared" si="72"/>
        <v>15</v>
      </c>
      <c r="O211" s="798">
        <v>15</v>
      </c>
      <c r="P211" s="798">
        <f t="shared" si="73"/>
        <v>150</v>
      </c>
      <c r="Q211" s="798">
        <v>15</v>
      </c>
      <c r="R211" s="798">
        <f t="shared" si="74"/>
        <v>150</v>
      </c>
    </row>
    <row r="212" spans="1:19" ht="12" hidden="1" customHeight="1">
      <c r="A212" s="799">
        <v>2</v>
      </c>
      <c r="B212" s="800">
        <v>10</v>
      </c>
      <c r="C212" s="801"/>
      <c r="D212" s="802">
        <f t="shared" si="67"/>
        <v>0</v>
      </c>
      <c r="E212" s="803"/>
      <c r="F212" s="804">
        <f t="shared" si="68"/>
        <v>0</v>
      </c>
      <c r="G212" s="801"/>
      <c r="H212" s="804">
        <f t="shared" si="69"/>
        <v>0</v>
      </c>
      <c r="I212" s="804">
        <v>12</v>
      </c>
      <c r="J212" s="804">
        <f t="shared" si="70"/>
        <v>120</v>
      </c>
      <c r="K212" s="804">
        <v>1</v>
      </c>
      <c r="L212" s="804">
        <f t="shared" si="71"/>
        <v>10</v>
      </c>
      <c r="M212" s="801">
        <v>1</v>
      </c>
      <c r="N212" s="804">
        <f t="shared" si="72"/>
        <v>10</v>
      </c>
      <c r="O212" s="804">
        <v>15</v>
      </c>
      <c r="P212" s="804">
        <f t="shared" si="73"/>
        <v>150</v>
      </c>
      <c r="Q212" s="804">
        <v>15</v>
      </c>
      <c r="R212" s="804">
        <f t="shared" si="74"/>
        <v>150</v>
      </c>
    </row>
    <row r="213" spans="1:19" ht="12.75" hidden="1" customHeight="1" thickBot="1">
      <c r="A213" s="805">
        <v>3</v>
      </c>
      <c r="B213" s="806">
        <v>10</v>
      </c>
      <c r="C213" s="807"/>
      <c r="D213" s="808">
        <f t="shared" si="67"/>
        <v>0</v>
      </c>
      <c r="E213" s="809"/>
      <c r="F213" s="810">
        <f t="shared" si="68"/>
        <v>0</v>
      </c>
      <c r="G213" s="807"/>
      <c r="H213" s="810">
        <f t="shared" si="69"/>
        <v>0</v>
      </c>
      <c r="I213" s="810">
        <v>14</v>
      </c>
      <c r="J213" s="810">
        <f t="shared" si="70"/>
        <v>140</v>
      </c>
      <c r="K213" s="810">
        <v>1</v>
      </c>
      <c r="L213" s="810">
        <f t="shared" si="71"/>
        <v>10</v>
      </c>
      <c r="M213" s="807">
        <v>1</v>
      </c>
      <c r="N213" s="810">
        <f t="shared" si="72"/>
        <v>10</v>
      </c>
      <c r="O213" s="810">
        <v>15</v>
      </c>
      <c r="P213" s="810">
        <f t="shared" si="73"/>
        <v>150</v>
      </c>
      <c r="Q213" s="810">
        <v>15</v>
      </c>
      <c r="R213" s="810">
        <f t="shared" si="74"/>
        <v>150</v>
      </c>
    </row>
    <row r="214" spans="1:19" ht="12" hidden="1" customHeight="1">
      <c r="A214" s="793">
        <v>1</v>
      </c>
      <c r="B214" s="794">
        <v>10</v>
      </c>
      <c r="C214" s="795"/>
      <c r="D214" s="796">
        <f t="shared" si="67"/>
        <v>0</v>
      </c>
      <c r="E214" s="797"/>
      <c r="F214" s="798">
        <f t="shared" si="68"/>
        <v>0</v>
      </c>
      <c r="G214" s="795"/>
      <c r="H214" s="798">
        <f t="shared" si="69"/>
        <v>0</v>
      </c>
      <c r="I214" s="798">
        <v>14</v>
      </c>
      <c r="J214" s="798">
        <f t="shared" si="70"/>
        <v>140</v>
      </c>
      <c r="K214" s="798">
        <v>1</v>
      </c>
      <c r="L214" s="798">
        <f t="shared" si="71"/>
        <v>10</v>
      </c>
      <c r="M214" s="795">
        <v>0.8</v>
      </c>
      <c r="N214" s="798">
        <f t="shared" si="72"/>
        <v>8</v>
      </c>
      <c r="O214" s="798">
        <v>20</v>
      </c>
      <c r="P214" s="798">
        <f t="shared" si="73"/>
        <v>200</v>
      </c>
      <c r="Q214" s="798">
        <v>20</v>
      </c>
      <c r="R214" s="798">
        <f t="shared" si="74"/>
        <v>200</v>
      </c>
    </row>
    <row r="215" spans="1:19" ht="12" hidden="1" customHeight="1">
      <c r="A215" s="799">
        <v>2</v>
      </c>
      <c r="B215" s="800">
        <v>10</v>
      </c>
      <c r="C215" s="801"/>
      <c r="D215" s="802">
        <f t="shared" si="67"/>
        <v>0</v>
      </c>
      <c r="E215" s="803"/>
      <c r="F215" s="804">
        <f t="shared" si="68"/>
        <v>0</v>
      </c>
      <c r="G215" s="801"/>
      <c r="H215" s="804">
        <f t="shared" si="69"/>
        <v>0</v>
      </c>
      <c r="I215" s="804">
        <v>16</v>
      </c>
      <c r="J215" s="804">
        <f t="shared" si="70"/>
        <v>160</v>
      </c>
      <c r="K215" s="804">
        <v>1</v>
      </c>
      <c r="L215" s="804">
        <f t="shared" si="71"/>
        <v>10</v>
      </c>
      <c r="M215" s="801">
        <v>0.7</v>
      </c>
      <c r="N215" s="804">
        <f t="shared" si="72"/>
        <v>7</v>
      </c>
      <c r="O215" s="804">
        <v>20</v>
      </c>
      <c r="P215" s="804">
        <f t="shared" si="73"/>
        <v>200</v>
      </c>
      <c r="Q215" s="804">
        <v>20</v>
      </c>
      <c r="R215" s="804">
        <f t="shared" si="74"/>
        <v>200</v>
      </c>
    </row>
    <row r="216" spans="1:19" ht="12.75" hidden="1" customHeight="1" thickBot="1">
      <c r="A216" s="805">
        <v>3</v>
      </c>
      <c r="B216" s="806">
        <v>10</v>
      </c>
      <c r="C216" s="807"/>
      <c r="D216" s="808">
        <f t="shared" si="67"/>
        <v>0</v>
      </c>
      <c r="E216" s="809"/>
      <c r="F216" s="810">
        <f t="shared" si="68"/>
        <v>0</v>
      </c>
      <c r="G216" s="807"/>
      <c r="H216" s="810">
        <f t="shared" si="69"/>
        <v>0</v>
      </c>
      <c r="I216" s="810">
        <v>18</v>
      </c>
      <c r="J216" s="810">
        <f t="shared" si="70"/>
        <v>180</v>
      </c>
      <c r="K216" s="810">
        <v>1</v>
      </c>
      <c r="L216" s="810">
        <f t="shared" si="71"/>
        <v>10</v>
      </c>
      <c r="M216" s="807">
        <v>0.7</v>
      </c>
      <c r="N216" s="810">
        <f t="shared" si="72"/>
        <v>7</v>
      </c>
      <c r="O216" s="810">
        <v>20</v>
      </c>
      <c r="P216" s="810">
        <f t="shared" si="73"/>
        <v>200</v>
      </c>
      <c r="Q216" s="810">
        <v>20</v>
      </c>
      <c r="R216" s="810">
        <f t="shared" si="74"/>
        <v>200</v>
      </c>
    </row>
    <row r="217" spans="1:19" ht="12" hidden="1" customHeight="1">
      <c r="A217" s="787"/>
      <c r="B217" s="811">
        <f>SUM(B199:B216)</f>
        <v>180</v>
      </c>
      <c r="C217" s="812"/>
      <c r="D217" s="813">
        <f>SUM(D199:D216)</f>
        <v>260</v>
      </c>
      <c r="E217" s="813"/>
      <c r="F217" s="811">
        <f t="shared" ref="F217:P217" si="75">SUM(F199:F216)</f>
        <v>86</v>
      </c>
      <c r="G217" s="811"/>
      <c r="H217" s="811">
        <f t="shared" si="75"/>
        <v>86</v>
      </c>
      <c r="I217" s="811"/>
      <c r="J217" s="811">
        <f t="shared" si="75"/>
        <v>1080</v>
      </c>
      <c r="K217" s="811"/>
      <c r="L217" s="811">
        <f t="shared" si="75"/>
        <v>130</v>
      </c>
      <c r="M217" s="811"/>
      <c r="N217" s="811">
        <f t="shared" si="75"/>
        <v>171</v>
      </c>
      <c r="O217" s="811"/>
      <c r="P217" s="811">
        <f t="shared" si="75"/>
        <v>2150</v>
      </c>
      <c r="Q217" s="811"/>
      <c r="R217" s="811">
        <f>SUM(R199:R216)</f>
        <v>2150</v>
      </c>
    </row>
    <row r="218" spans="1:19" ht="12" hidden="1" customHeight="1">
      <c r="C218" s="786">
        <f>SUMIF(C199:C216,"&gt;0",$B199:$B216)</f>
        <v>80</v>
      </c>
      <c r="D218" s="786"/>
      <c r="E218" s="786">
        <f>SUMIF(E199:E216,"&gt;0",$B199:$B216)</f>
        <v>70</v>
      </c>
      <c r="G218" s="786">
        <f>SUMIF(G199:G216,"&gt;0",$B199:$B216)</f>
        <v>70</v>
      </c>
      <c r="I218" s="786">
        <f>SUMIF(I199:I216,"&gt;0",$B199:$B216)</f>
        <v>90</v>
      </c>
      <c r="K218" s="786">
        <f>SUMIF(K199:K216,"&gt;0",$B199:$B216)</f>
        <v>150</v>
      </c>
      <c r="M218" s="786">
        <f>SUMIF(M199:M216,"&gt;0",$B199:$B216)</f>
        <v>150</v>
      </c>
      <c r="O218" s="786">
        <f>SUMIF(O199:O216,"&gt;0",$B199:$B216)</f>
        <v>160</v>
      </c>
      <c r="Q218" s="786">
        <f>SUMIF(Q199:Q216,"&gt;0",$B199:$B216)</f>
        <v>160</v>
      </c>
      <c r="R218" s="786"/>
    </row>
    <row r="219" spans="1:19" ht="12" hidden="1" customHeight="1"/>
    <row r="223" spans="1:19">
      <c r="Q223" s="814"/>
      <c r="R223" s="815"/>
      <c r="S223" s="816"/>
    </row>
    <row r="224" spans="1:19">
      <c r="S224" s="816"/>
    </row>
  </sheetData>
  <sheetProtection selectLockedCells="1" selectUnlockedCells="1"/>
  <mergeCells count="9">
    <mergeCell ref="M198:N198"/>
    <mergeCell ref="O198:P198"/>
    <mergeCell ref="Q198:R198"/>
    <mergeCell ref="B3:E3"/>
    <mergeCell ref="C198:D198"/>
    <mergeCell ref="E198:F198"/>
    <mergeCell ref="G198:H198"/>
    <mergeCell ref="I198:J198"/>
    <mergeCell ref="K198:L198"/>
  </mergeCells>
  <conditionalFormatting sqref="R11 R25 R39 R53 R67 R81 R95 R109 R123 R137 R151 R165 R179">
    <cfRule type="cellIs" dxfId="1" priority="1" stopIfTrue="1" operator="equal">
      <formula>0</formula>
    </cfRule>
  </conditionalFormatting>
  <pageMargins left="0.7" right="0.7" top="0.75" bottom="0.75" header="0.51180555555555551" footer="0.51180555555555551"/>
  <pageSetup paperSize="9" scale="59" firstPageNumber="0" fitToHeight="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76"/>
  <sheetViews>
    <sheetView showZeros="0" view="pageBreakPreview" topLeftCell="A40" zoomScale="85" zoomScaleNormal="90" zoomScaleSheetLayoutView="85" workbookViewId="0">
      <selection activeCell="AC63" sqref="AC63"/>
    </sheetView>
  </sheetViews>
  <sheetFormatPr defaultColWidth="9.140625" defaultRowHeight="12.75"/>
  <cols>
    <col min="1" max="1" width="23" style="867" customWidth="1"/>
    <col min="2" max="2" width="10.140625" style="867" customWidth="1"/>
    <col min="3" max="3" width="6.140625" style="867" customWidth="1"/>
    <col min="4" max="4" width="7.7109375" style="867" customWidth="1"/>
    <col min="5" max="5" width="10.140625" style="867" customWidth="1"/>
    <col min="6" max="6" width="8.5703125" style="867" customWidth="1"/>
    <col min="7" max="7" width="9.5703125" style="867" customWidth="1"/>
    <col min="8" max="8" width="10.42578125" style="867" bestFit="1" customWidth="1"/>
    <col min="9" max="9" width="8.5703125" style="867" customWidth="1"/>
    <col min="10" max="10" width="9.5703125" style="867" customWidth="1"/>
    <col min="11" max="11" width="9.42578125" style="867" bestFit="1" customWidth="1"/>
    <col min="12" max="12" width="8.42578125" style="867" customWidth="1"/>
    <col min="13" max="13" width="9.5703125" style="867" customWidth="1"/>
    <col min="14" max="14" width="9.42578125" style="867" bestFit="1" customWidth="1"/>
    <col min="15" max="15" width="8.42578125" style="867" customWidth="1"/>
    <col min="16" max="16" width="9.42578125" style="867" customWidth="1"/>
    <col min="17" max="18" width="9.28515625" style="867" bestFit="1" customWidth="1"/>
    <col min="19" max="19" width="9.5703125" style="867" customWidth="1"/>
    <col min="20" max="20" width="9.42578125" style="867" bestFit="1" customWidth="1"/>
    <col min="21" max="22" width="9.42578125" style="867" customWidth="1"/>
    <col min="23" max="23" width="11.7109375" style="867" customWidth="1"/>
    <col min="24" max="24" width="9.7109375" style="1280" customWidth="1"/>
    <col min="25" max="16384" width="9.140625" style="867"/>
  </cols>
  <sheetData>
    <row r="1" spans="1:24" ht="15.75">
      <c r="A1" s="2328" t="s">
        <v>441</v>
      </c>
      <c r="B1" s="2328"/>
      <c r="C1" s="2328"/>
      <c r="D1" s="2328"/>
      <c r="E1" s="2328"/>
      <c r="F1" s="2328"/>
      <c r="G1" s="2328"/>
      <c r="H1" s="2328"/>
      <c r="I1" s="2328"/>
      <c r="J1" s="2328"/>
      <c r="K1" s="2328"/>
      <c r="L1" s="2328"/>
      <c r="M1" s="2328"/>
      <c r="N1" s="2328"/>
      <c r="O1" s="2328"/>
      <c r="P1" s="2328"/>
      <c r="Q1" s="2328"/>
      <c r="R1" s="2328"/>
      <c r="S1" s="2328"/>
      <c r="T1" s="2328"/>
      <c r="U1" s="2328"/>
      <c r="V1" s="2328"/>
      <c r="W1" s="2328"/>
    </row>
    <row r="2" spans="1:24" ht="13.5" thickBot="1">
      <c r="A2" s="868">
        <v>2019</v>
      </c>
    </row>
    <row r="3" spans="1:24" s="869" customFormat="1" ht="23.45" customHeight="1" thickTop="1">
      <c r="A3" s="2324" t="s">
        <v>224</v>
      </c>
      <c r="B3" s="2326" t="s">
        <v>440</v>
      </c>
      <c r="C3" s="2314" t="s">
        <v>437</v>
      </c>
      <c r="D3" s="2316"/>
      <c r="E3" s="2320" t="s">
        <v>439</v>
      </c>
      <c r="F3" s="2314" t="s">
        <v>422</v>
      </c>
      <c r="G3" s="2315"/>
      <c r="H3" s="2316"/>
      <c r="I3" s="2314" t="s">
        <v>423</v>
      </c>
      <c r="J3" s="2315"/>
      <c r="K3" s="2316"/>
      <c r="L3" s="2314" t="s">
        <v>424</v>
      </c>
      <c r="M3" s="2315"/>
      <c r="N3" s="2316"/>
      <c r="O3" s="2314" t="s">
        <v>425</v>
      </c>
      <c r="P3" s="2315"/>
      <c r="Q3" s="2316"/>
      <c r="R3" s="2317" t="s">
        <v>426</v>
      </c>
      <c r="S3" s="2318"/>
      <c r="T3" s="2319"/>
      <c r="U3" s="2320" t="s">
        <v>442</v>
      </c>
      <c r="V3" s="2320" t="s">
        <v>444</v>
      </c>
      <c r="W3" s="2329" t="s">
        <v>427</v>
      </c>
      <c r="X3" s="2312" t="s">
        <v>443</v>
      </c>
    </row>
    <row r="4" spans="1:24" s="869" customFormat="1" ht="38.25">
      <c r="A4" s="2325"/>
      <c r="B4" s="2327"/>
      <c r="C4" s="870" t="s">
        <v>438</v>
      </c>
      <c r="D4" s="870" t="s">
        <v>315</v>
      </c>
      <c r="E4" s="2321"/>
      <c r="F4" s="870" t="s">
        <v>435</v>
      </c>
      <c r="G4" s="870" t="s">
        <v>428</v>
      </c>
      <c r="H4" s="870" t="s">
        <v>429</v>
      </c>
      <c r="I4" s="870" t="s">
        <v>430</v>
      </c>
      <c r="J4" s="870" t="s">
        <v>428</v>
      </c>
      <c r="K4" s="870" t="s">
        <v>429</v>
      </c>
      <c r="L4" s="870" t="s">
        <v>430</v>
      </c>
      <c r="M4" s="870" t="s">
        <v>428</v>
      </c>
      <c r="N4" s="870" t="s">
        <v>429</v>
      </c>
      <c r="O4" s="870" t="s">
        <v>430</v>
      </c>
      <c r="P4" s="870" t="s">
        <v>428</v>
      </c>
      <c r="Q4" s="870" t="s">
        <v>429</v>
      </c>
      <c r="R4" s="870" t="s">
        <v>445</v>
      </c>
      <c r="S4" s="870" t="s">
        <v>431</v>
      </c>
      <c r="T4" s="870" t="s">
        <v>429</v>
      </c>
      <c r="U4" s="2321"/>
      <c r="V4" s="2321"/>
      <c r="W4" s="2330"/>
      <c r="X4" s="2313"/>
    </row>
    <row r="5" spans="1:24">
      <c r="A5" s="875" t="s">
        <v>210</v>
      </c>
      <c r="B5" s="871">
        <v>0</v>
      </c>
      <c r="C5" s="871"/>
      <c r="D5" s="871">
        <f>+B5*C5/10</f>
        <v>0</v>
      </c>
      <c r="E5" s="871"/>
      <c r="F5" s="871"/>
      <c r="G5" s="872"/>
      <c r="H5" s="872">
        <f t="shared" ref="H5:H8" si="0">F5*G5/1000*B5</f>
        <v>0</v>
      </c>
      <c r="I5" s="872"/>
      <c r="J5" s="872"/>
      <c r="K5" s="872">
        <f t="shared" ref="K5:K8" si="1">+I5*J5/1000*B5</f>
        <v>0</v>
      </c>
      <c r="L5" s="872"/>
      <c r="M5" s="872"/>
      <c r="N5" s="872">
        <f t="shared" ref="N5:N8" si="2">+L5*M5/1000*B5</f>
        <v>0</v>
      </c>
      <c r="O5" s="872"/>
      <c r="P5" s="872"/>
      <c r="Q5" s="872">
        <f t="shared" ref="Q5:Q8" si="3">+O5*P5/1000*B5</f>
        <v>0</v>
      </c>
      <c r="R5" s="872"/>
      <c r="S5" s="872"/>
      <c r="T5" s="872"/>
      <c r="U5" s="874"/>
      <c r="V5" s="874"/>
      <c r="W5" s="1279">
        <f>E5+H5+K5+N5+Q5+T5+U5+V5</f>
        <v>0</v>
      </c>
      <c r="X5" s="1281" t="e">
        <f>+W5/D5</f>
        <v>#DIV/0!</v>
      </c>
    </row>
    <row r="6" spans="1:24">
      <c r="A6" s="876" t="s">
        <v>338</v>
      </c>
      <c r="B6" s="871"/>
      <c r="C6" s="871"/>
      <c r="D6" s="871">
        <f t="shared" ref="D6:D8" si="4">+B6*C6/10</f>
        <v>0</v>
      </c>
      <c r="E6" s="871"/>
      <c r="F6" s="871"/>
      <c r="G6" s="872"/>
      <c r="H6" s="872">
        <f t="shared" si="0"/>
        <v>0</v>
      </c>
      <c r="I6" s="872"/>
      <c r="J6" s="872"/>
      <c r="K6" s="872">
        <f t="shared" si="1"/>
        <v>0</v>
      </c>
      <c r="L6" s="872"/>
      <c r="M6" s="872"/>
      <c r="N6" s="872">
        <f t="shared" si="2"/>
        <v>0</v>
      </c>
      <c r="O6" s="872"/>
      <c r="P6" s="872"/>
      <c r="Q6" s="872">
        <f t="shared" si="3"/>
        <v>0</v>
      </c>
      <c r="R6" s="872"/>
      <c r="S6" s="872"/>
      <c r="T6" s="872">
        <f t="shared" ref="T6:T8" si="5">+R6*S6/1000*B6</f>
        <v>0</v>
      </c>
      <c r="U6" s="874"/>
      <c r="V6" s="874"/>
      <c r="W6" s="1279">
        <f t="shared" ref="W6:W8" si="6">E6+H6+K6+N6+Q6+T6+U6+V6</f>
        <v>0</v>
      </c>
      <c r="X6" s="1281" t="e">
        <f>+W6/D6</f>
        <v>#DIV/0!</v>
      </c>
    </row>
    <row r="7" spans="1:24">
      <c r="A7" s="876" t="s">
        <v>337</v>
      </c>
      <c r="B7" s="871"/>
      <c r="C7" s="871"/>
      <c r="D7" s="871">
        <f t="shared" si="4"/>
        <v>0</v>
      </c>
      <c r="E7" s="871"/>
      <c r="F7" s="871"/>
      <c r="G7" s="872"/>
      <c r="H7" s="872">
        <f t="shared" si="0"/>
        <v>0</v>
      </c>
      <c r="I7" s="872"/>
      <c r="J7" s="872"/>
      <c r="K7" s="872">
        <f t="shared" si="1"/>
        <v>0</v>
      </c>
      <c r="L7" s="872"/>
      <c r="M7" s="872"/>
      <c r="N7" s="872">
        <f t="shared" si="2"/>
        <v>0</v>
      </c>
      <c r="O7" s="872"/>
      <c r="P7" s="872"/>
      <c r="Q7" s="872">
        <f t="shared" si="3"/>
        <v>0</v>
      </c>
      <c r="R7" s="872"/>
      <c r="S7" s="872"/>
      <c r="T7" s="872">
        <f t="shared" si="5"/>
        <v>0</v>
      </c>
      <c r="U7" s="874"/>
      <c r="V7" s="874"/>
      <c r="W7" s="1279">
        <f t="shared" si="6"/>
        <v>0</v>
      </c>
      <c r="X7" s="1281" t="e">
        <f>+W7/D7</f>
        <v>#DIV/0!</v>
      </c>
    </row>
    <row r="8" spans="1:24">
      <c r="A8" s="876" t="s">
        <v>432</v>
      </c>
      <c r="B8" s="871"/>
      <c r="C8" s="871"/>
      <c r="D8" s="871">
        <f t="shared" si="4"/>
        <v>0</v>
      </c>
      <c r="E8" s="871"/>
      <c r="F8" s="871"/>
      <c r="G8" s="872"/>
      <c r="H8" s="872">
        <f t="shared" si="0"/>
        <v>0</v>
      </c>
      <c r="I8" s="872"/>
      <c r="J8" s="872"/>
      <c r="K8" s="872">
        <f t="shared" si="1"/>
        <v>0</v>
      </c>
      <c r="L8" s="872"/>
      <c r="M8" s="872"/>
      <c r="N8" s="872">
        <f t="shared" si="2"/>
        <v>0</v>
      </c>
      <c r="O8" s="872"/>
      <c r="P8" s="872"/>
      <c r="Q8" s="872">
        <f t="shared" si="3"/>
        <v>0</v>
      </c>
      <c r="R8" s="872"/>
      <c r="S8" s="872"/>
      <c r="T8" s="872">
        <f t="shared" si="5"/>
        <v>0</v>
      </c>
      <c r="U8" s="874"/>
      <c r="V8" s="874"/>
      <c r="W8" s="1279">
        <f t="shared" si="6"/>
        <v>0</v>
      </c>
      <c r="X8" s="1281" t="e">
        <f>+W8/D8</f>
        <v>#DIV/0!</v>
      </c>
    </row>
    <row r="9" spans="1:24" ht="13.5" thickBot="1">
      <c r="A9" s="1270" t="s">
        <v>433</v>
      </c>
      <c r="B9" s="1271" t="s">
        <v>221</v>
      </c>
      <c r="C9" s="1271" t="s">
        <v>221</v>
      </c>
      <c r="D9" s="1271">
        <f>SUM(D5:D8)</f>
        <v>0</v>
      </c>
      <c r="E9" s="1271"/>
      <c r="F9" s="1272" t="s">
        <v>221</v>
      </c>
      <c r="G9" s="1273" t="s">
        <v>221</v>
      </c>
      <c r="H9" s="1273">
        <f>SUM(H5:H8)</f>
        <v>0</v>
      </c>
      <c r="I9" s="1273" t="s">
        <v>221</v>
      </c>
      <c r="J9" s="1273" t="s">
        <v>221</v>
      </c>
      <c r="K9" s="1273">
        <f>SUM(K5:K8)</f>
        <v>0</v>
      </c>
      <c r="L9" s="1273" t="s">
        <v>221</v>
      </c>
      <c r="M9" s="1273" t="s">
        <v>221</v>
      </c>
      <c r="N9" s="1273">
        <f>SUM(N5:N8)</f>
        <v>0</v>
      </c>
      <c r="O9" s="1273" t="s">
        <v>221</v>
      </c>
      <c r="P9" s="1273" t="s">
        <v>221</v>
      </c>
      <c r="Q9" s="1273">
        <f>SUM(Q5:Q8)</f>
        <v>0</v>
      </c>
      <c r="R9" s="1273" t="s">
        <v>221</v>
      </c>
      <c r="S9" s="1273" t="s">
        <v>221</v>
      </c>
      <c r="T9" s="1273">
        <f>SUM(T5:T8)</f>
        <v>0</v>
      </c>
      <c r="U9" s="1274"/>
      <c r="V9" s="1274"/>
      <c r="W9" s="1274">
        <f>SUM(W5:W8)</f>
        <v>0</v>
      </c>
      <c r="X9" s="1275" t="e">
        <f>SUM(X5:X8)</f>
        <v>#DIV/0!</v>
      </c>
    </row>
    <row r="10" spans="1:24" ht="13.5" thickTop="1"/>
    <row r="11" spans="1:24" ht="13.5" thickBot="1">
      <c r="A11" s="868">
        <f>+A2+1</f>
        <v>2020</v>
      </c>
    </row>
    <row r="12" spans="1:24" ht="24.95" customHeight="1" thickTop="1">
      <c r="A12" s="2324" t="s">
        <v>224</v>
      </c>
      <c r="B12" s="2326" t="s">
        <v>434</v>
      </c>
      <c r="C12" s="2314" t="s">
        <v>437</v>
      </c>
      <c r="D12" s="2316"/>
      <c r="E12" s="2320" t="s">
        <v>439</v>
      </c>
      <c r="F12" s="2314" t="s">
        <v>422</v>
      </c>
      <c r="G12" s="2315"/>
      <c r="H12" s="2316"/>
      <c r="I12" s="2314" t="s">
        <v>423</v>
      </c>
      <c r="J12" s="2315"/>
      <c r="K12" s="2316"/>
      <c r="L12" s="2314" t="s">
        <v>424</v>
      </c>
      <c r="M12" s="2315"/>
      <c r="N12" s="2316"/>
      <c r="O12" s="2314" t="s">
        <v>425</v>
      </c>
      <c r="P12" s="2315"/>
      <c r="Q12" s="2316"/>
      <c r="R12" s="2317" t="s">
        <v>426</v>
      </c>
      <c r="S12" s="2318"/>
      <c r="T12" s="2319"/>
      <c r="U12" s="2320" t="s">
        <v>442</v>
      </c>
      <c r="V12" s="2320" t="s">
        <v>444</v>
      </c>
      <c r="W12" s="2322" t="s">
        <v>427</v>
      </c>
      <c r="X12" s="2312" t="s">
        <v>443</v>
      </c>
    </row>
    <row r="13" spans="1:24" ht="38.25">
      <c r="A13" s="2325"/>
      <c r="B13" s="2327"/>
      <c r="C13" s="870" t="s">
        <v>438</v>
      </c>
      <c r="D13" s="870" t="s">
        <v>315</v>
      </c>
      <c r="E13" s="2321"/>
      <c r="F13" s="870" t="s">
        <v>435</v>
      </c>
      <c r="G13" s="870" t="s">
        <v>436</v>
      </c>
      <c r="H13" s="870" t="s">
        <v>429</v>
      </c>
      <c r="I13" s="870" t="s">
        <v>430</v>
      </c>
      <c r="J13" s="870" t="s">
        <v>436</v>
      </c>
      <c r="K13" s="870" t="s">
        <v>429</v>
      </c>
      <c r="L13" s="870" t="s">
        <v>430</v>
      </c>
      <c r="M13" s="870" t="s">
        <v>436</v>
      </c>
      <c r="N13" s="870" t="s">
        <v>429</v>
      </c>
      <c r="O13" s="870" t="s">
        <v>430</v>
      </c>
      <c r="P13" s="870" t="s">
        <v>436</v>
      </c>
      <c r="Q13" s="870" t="s">
        <v>429</v>
      </c>
      <c r="R13" s="870" t="s">
        <v>445</v>
      </c>
      <c r="S13" s="870" t="s">
        <v>431</v>
      </c>
      <c r="T13" s="870" t="s">
        <v>429</v>
      </c>
      <c r="U13" s="2321"/>
      <c r="V13" s="2321"/>
      <c r="W13" s="2323"/>
      <c r="X13" s="2313"/>
    </row>
    <row r="14" spans="1:24">
      <c r="A14" s="875" t="s">
        <v>210</v>
      </c>
      <c r="B14" s="871"/>
      <c r="C14" s="871"/>
      <c r="D14" s="871">
        <f>+B14*C14/10</f>
        <v>0</v>
      </c>
      <c r="E14" s="873" t="e">
        <f>+E5/D5*D14*1.012</f>
        <v>#DIV/0!</v>
      </c>
      <c r="F14" s="873">
        <f>+F5</f>
        <v>0</v>
      </c>
      <c r="G14" s="873">
        <f>+G5*1.015</f>
        <v>0</v>
      </c>
      <c r="H14" s="873">
        <f t="shared" ref="H14:H17" si="7">F14*G14/1000*B14</f>
        <v>0</v>
      </c>
      <c r="I14" s="873">
        <f>+I5</f>
        <v>0</v>
      </c>
      <c r="J14" s="873">
        <f>+J5*1.015</f>
        <v>0</v>
      </c>
      <c r="K14" s="873">
        <f t="shared" ref="K14:K17" si="8">+I14*J14/1000*B14</f>
        <v>0</v>
      </c>
      <c r="L14" s="873">
        <f>+L5</f>
        <v>0</v>
      </c>
      <c r="M14" s="873">
        <f>+M5*1.015</f>
        <v>0</v>
      </c>
      <c r="N14" s="873">
        <f t="shared" ref="N14:N17" si="9">+L14*M14/1000*B14</f>
        <v>0</v>
      </c>
      <c r="O14" s="873">
        <f>+O5</f>
        <v>0</v>
      </c>
      <c r="P14" s="873">
        <f>+P5*1.02</f>
        <v>0</v>
      </c>
      <c r="Q14" s="873">
        <f t="shared" ref="Q14:Q17" si="10">+O14*P14/1000*B14</f>
        <v>0</v>
      </c>
      <c r="R14" s="873">
        <f>+R5</f>
        <v>0</v>
      </c>
      <c r="S14" s="873">
        <f>+S5*1.015</f>
        <v>0</v>
      </c>
      <c r="T14" s="873">
        <f t="shared" ref="T14:T17" si="11">+R14*S14/1000*B14</f>
        <v>0</v>
      </c>
      <c r="U14" s="877" t="e">
        <f>+U5/B5*B14*1.015</f>
        <v>#DIV/0!</v>
      </c>
      <c r="V14" s="877" t="e">
        <f>+V5/B5*B14*1.015</f>
        <v>#DIV/0!</v>
      </c>
      <c r="W14" s="1279" t="e">
        <f>E14+H14+K14+N14+Q14+T14+U14+V14</f>
        <v>#DIV/0!</v>
      </c>
      <c r="X14" s="1282" t="e">
        <f>+W14/D14</f>
        <v>#DIV/0!</v>
      </c>
    </row>
    <row r="15" spans="1:24">
      <c r="A15" s="876" t="s">
        <v>338</v>
      </c>
      <c r="B15" s="871"/>
      <c r="C15" s="871"/>
      <c r="D15" s="871">
        <f t="shared" ref="D15:D17" si="12">+B15*C15/10</f>
        <v>0</v>
      </c>
      <c r="E15" s="873"/>
      <c r="F15" s="873">
        <f>+F6</f>
        <v>0</v>
      </c>
      <c r="G15" s="873">
        <f>+G6*1.015</f>
        <v>0</v>
      </c>
      <c r="H15" s="873">
        <f t="shared" si="7"/>
        <v>0</v>
      </c>
      <c r="I15" s="873">
        <f>+I6</f>
        <v>0</v>
      </c>
      <c r="J15" s="873">
        <f>+J6*1.015</f>
        <v>0</v>
      </c>
      <c r="K15" s="873">
        <f t="shared" si="8"/>
        <v>0</v>
      </c>
      <c r="L15" s="873">
        <f>+L6</f>
        <v>0</v>
      </c>
      <c r="M15" s="873">
        <f>+M6*1.015</f>
        <v>0</v>
      </c>
      <c r="N15" s="873">
        <f t="shared" si="9"/>
        <v>0</v>
      </c>
      <c r="O15" s="873">
        <f>+O6</f>
        <v>0</v>
      </c>
      <c r="P15" s="873">
        <f>+P6*1.02</f>
        <v>0</v>
      </c>
      <c r="Q15" s="873">
        <f t="shared" si="10"/>
        <v>0</v>
      </c>
      <c r="R15" s="873">
        <f>+R6</f>
        <v>0</v>
      </c>
      <c r="S15" s="873">
        <f>+S6*1.015</f>
        <v>0</v>
      </c>
      <c r="T15" s="873">
        <f t="shared" si="11"/>
        <v>0</v>
      </c>
      <c r="U15" s="877"/>
      <c r="V15" s="877"/>
      <c r="W15" s="1279">
        <f t="shared" ref="W15:W17" si="13">E15+H15+K15+N15+Q15+T15+U15+V15</f>
        <v>0</v>
      </c>
      <c r="X15" s="1282" t="e">
        <f t="shared" ref="X15:X17" si="14">+W15/D15</f>
        <v>#DIV/0!</v>
      </c>
    </row>
    <row r="16" spans="1:24">
      <c r="A16" s="876" t="s">
        <v>337</v>
      </c>
      <c r="B16" s="871"/>
      <c r="C16" s="871"/>
      <c r="D16" s="871">
        <f t="shared" si="12"/>
        <v>0</v>
      </c>
      <c r="E16" s="873"/>
      <c r="F16" s="873">
        <f>+F7</f>
        <v>0</v>
      </c>
      <c r="G16" s="873">
        <f>+G7*1.015</f>
        <v>0</v>
      </c>
      <c r="H16" s="873">
        <f t="shared" si="7"/>
        <v>0</v>
      </c>
      <c r="I16" s="873">
        <f>+I7</f>
        <v>0</v>
      </c>
      <c r="J16" s="873">
        <f>+J7*1.015</f>
        <v>0</v>
      </c>
      <c r="K16" s="873">
        <f t="shared" si="8"/>
        <v>0</v>
      </c>
      <c r="L16" s="873">
        <f>+L7</f>
        <v>0</v>
      </c>
      <c r="M16" s="873">
        <f>+M7*1.015</f>
        <v>0</v>
      </c>
      <c r="N16" s="873">
        <f>+L16*M16/1000*B16</f>
        <v>0</v>
      </c>
      <c r="O16" s="873">
        <f>+O7</f>
        <v>0</v>
      </c>
      <c r="P16" s="873">
        <f>+P7*1.02</f>
        <v>0</v>
      </c>
      <c r="Q16" s="873">
        <f>+O16*P16/1000*B16</f>
        <v>0</v>
      </c>
      <c r="R16" s="873">
        <f>+R7</f>
        <v>0</v>
      </c>
      <c r="S16" s="873">
        <f>+S7*1.015</f>
        <v>0</v>
      </c>
      <c r="T16" s="873">
        <f>+R16*S16/1000*B16</f>
        <v>0</v>
      </c>
      <c r="U16" s="877"/>
      <c r="V16" s="877"/>
      <c r="W16" s="1279">
        <f t="shared" si="13"/>
        <v>0</v>
      </c>
      <c r="X16" s="1282" t="e">
        <f t="shared" si="14"/>
        <v>#DIV/0!</v>
      </c>
    </row>
    <row r="17" spans="1:24">
      <c r="A17" s="876" t="s">
        <v>432</v>
      </c>
      <c r="B17" s="871"/>
      <c r="C17" s="871"/>
      <c r="D17" s="871">
        <f t="shared" si="12"/>
        <v>0</v>
      </c>
      <c r="E17" s="873"/>
      <c r="F17" s="873">
        <f>+F8</f>
        <v>0</v>
      </c>
      <c r="G17" s="873">
        <f>+G8*1.015</f>
        <v>0</v>
      </c>
      <c r="H17" s="873">
        <f t="shared" si="7"/>
        <v>0</v>
      </c>
      <c r="I17" s="873">
        <f>+I8</f>
        <v>0</v>
      </c>
      <c r="J17" s="873">
        <f>+J8*1.015</f>
        <v>0</v>
      </c>
      <c r="K17" s="873">
        <f t="shared" si="8"/>
        <v>0</v>
      </c>
      <c r="L17" s="873">
        <f>+L8</f>
        <v>0</v>
      </c>
      <c r="M17" s="873">
        <f>+M8*1.015</f>
        <v>0</v>
      </c>
      <c r="N17" s="873">
        <f t="shared" si="9"/>
        <v>0</v>
      </c>
      <c r="O17" s="873">
        <f>+O8</f>
        <v>0</v>
      </c>
      <c r="P17" s="873">
        <f>+P8*1.02</f>
        <v>0</v>
      </c>
      <c r="Q17" s="873">
        <f t="shared" si="10"/>
        <v>0</v>
      </c>
      <c r="R17" s="873">
        <f>+R8</f>
        <v>0</v>
      </c>
      <c r="S17" s="873">
        <f>+S8*1.015</f>
        <v>0</v>
      </c>
      <c r="T17" s="873">
        <f t="shared" si="11"/>
        <v>0</v>
      </c>
      <c r="U17" s="877"/>
      <c r="V17" s="877"/>
      <c r="W17" s="1279">
        <f t="shared" si="13"/>
        <v>0</v>
      </c>
      <c r="X17" s="1282" t="e">
        <f t="shared" si="14"/>
        <v>#DIV/0!</v>
      </c>
    </row>
    <row r="18" spans="1:24" ht="13.5" thickBot="1">
      <c r="A18" s="1270" t="s">
        <v>433</v>
      </c>
      <c r="B18" s="1276"/>
      <c r="C18" s="1276"/>
      <c r="D18" s="1276"/>
      <c r="E18" s="1276"/>
      <c r="F18" s="1272" t="s">
        <v>221</v>
      </c>
      <c r="G18" s="1273" t="s">
        <v>221</v>
      </c>
      <c r="H18" s="1273">
        <f>SUM(H14:H17)</f>
        <v>0</v>
      </c>
      <c r="I18" s="1273" t="s">
        <v>221</v>
      </c>
      <c r="J18" s="1273" t="s">
        <v>221</v>
      </c>
      <c r="K18" s="1273">
        <f>SUM(K14:K17)</f>
        <v>0</v>
      </c>
      <c r="L18" s="1273" t="s">
        <v>221</v>
      </c>
      <c r="M18" s="1273" t="s">
        <v>221</v>
      </c>
      <c r="N18" s="1273">
        <f>SUM(N14:N17)</f>
        <v>0</v>
      </c>
      <c r="O18" s="1273" t="s">
        <v>221</v>
      </c>
      <c r="P18" s="1273" t="s">
        <v>221</v>
      </c>
      <c r="Q18" s="1273">
        <f>SUM(Q14:Q17)</f>
        <v>0</v>
      </c>
      <c r="R18" s="1273" t="s">
        <v>221</v>
      </c>
      <c r="S18" s="1273" t="s">
        <v>221</v>
      </c>
      <c r="T18" s="1273">
        <f>SUM(T14:T17)</f>
        <v>0</v>
      </c>
      <c r="U18" s="1274"/>
      <c r="V18" s="1274"/>
      <c r="W18" s="1277" t="e">
        <f>SUM(W14:W17)</f>
        <v>#DIV/0!</v>
      </c>
      <c r="X18" s="1275" t="e">
        <f>SUM(X14:X17)</f>
        <v>#DIV/0!</v>
      </c>
    </row>
    <row r="19" spans="1:24" ht="13.5" thickTop="1"/>
    <row r="20" spans="1:24" ht="13.5" thickBot="1">
      <c r="A20" s="868">
        <f>+A11+1</f>
        <v>2021</v>
      </c>
    </row>
    <row r="21" spans="1:24" ht="23.45" customHeight="1" thickTop="1">
      <c r="A21" s="2324" t="s">
        <v>224</v>
      </c>
      <c r="B21" s="2326" t="s">
        <v>434</v>
      </c>
      <c r="C21" s="2314" t="s">
        <v>437</v>
      </c>
      <c r="D21" s="2316"/>
      <c r="E21" s="2320" t="s">
        <v>439</v>
      </c>
      <c r="F21" s="2314" t="s">
        <v>446</v>
      </c>
      <c r="G21" s="2315"/>
      <c r="H21" s="2316"/>
      <c r="I21" s="2314" t="s">
        <v>423</v>
      </c>
      <c r="J21" s="2315"/>
      <c r="K21" s="2316"/>
      <c r="L21" s="2314" t="s">
        <v>424</v>
      </c>
      <c r="M21" s="2315"/>
      <c r="N21" s="2316"/>
      <c r="O21" s="2314" t="s">
        <v>425</v>
      </c>
      <c r="P21" s="2315"/>
      <c r="Q21" s="2316"/>
      <c r="R21" s="2317" t="s">
        <v>426</v>
      </c>
      <c r="S21" s="2318"/>
      <c r="T21" s="2319"/>
      <c r="U21" s="2320" t="s">
        <v>442</v>
      </c>
      <c r="V21" s="2320" t="s">
        <v>444</v>
      </c>
      <c r="W21" s="2322" t="s">
        <v>427</v>
      </c>
      <c r="X21" s="2312" t="s">
        <v>443</v>
      </c>
    </row>
    <row r="22" spans="1:24" ht="38.25">
      <c r="A22" s="2325"/>
      <c r="B22" s="2327"/>
      <c r="C22" s="870" t="s">
        <v>438</v>
      </c>
      <c r="D22" s="870" t="s">
        <v>315</v>
      </c>
      <c r="E22" s="2321"/>
      <c r="F22" s="870" t="s">
        <v>435</v>
      </c>
      <c r="G22" s="870" t="s">
        <v>436</v>
      </c>
      <c r="H22" s="870" t="s">
        <v>429</v>
      </c>
      <c r="I22" s="870" t="s">
        <v>430</v>
      </c>
      <c r="J22" s="870" t="s">
        <v>436</v>
      </c>
      <c r="K22" s="870" t="s">
        <v>429</v>
      </c>
      <c r="L22" s="870" t="s">
        <v>430</v>
      </c>
      <c r="M22" s="870" t="s">
        <v>436</v>
      </c>
      <c r="N22" s="870" t="s">
        <v>429</v>
      </c>
      <c r="O22" s="870" t="s">
        <v>430</v>
      </c>
      <c r="P22" s="870" t="s">
        <v>436</v>
      </c>
      <c r="Q22" s="870" t="s">
        <v>429</v>
      </c>
      <c r="R22" s="870" t="s">
        <v>445</v>
      </c>
      <c r="S22" s="870" t="s">
        <v>431</v>
      </c>
      <c r="T22" s="870" t="s">
        <v>429</v>
      </c>
      <c r="U22" s="2321"/>
      <c r="V22" s="2321"/>
      <c r="W22" s="2323"/>
      <c r="X22" s="2313"/>
    </row>
    <row r="23" spans="1:24">
      <c r="A23" s="875" t="s">
        <v>210</v>
      </c>
      <c r="B23" s="871"/>
      <c r="C23" s="871"/>
      <c r="D23" s="871">
        <f>+B23*C23/10</f>
        <v>0</v>
      </c>
      <c r="E23" s="873" t="e">
        <f>+E14/D14*D23*1.012</f>
        <v>#DIV/0!</v>
      </c>
      <c r="F23" s="873">
        <f>+F14</f>
        <v>0</v>
      </c>
      <c r="G23" s="873">
        <f>+G14*1.015</f>
        <v>0</v>
      </c>
      <c r="H23" s="873">
        <f t="shared" ref="H23:H26" si="15">F23*G23/1000*B23</f>
        <v>0</v>
      </c>
      <c r="I23" s="873">
        <f>+I14</f>
        <v>0</v>
      </c>
      <c r="J23" s="873">
        <f>+J14*1.015</f>
        <v>0</v>
      </c>
      <c r="K23" s="873">
        <f t="shared" ref="K23:K26" si="16">+I23*J23/1000*B23</f>
        <v>0</v>
      </c>
      <c r="L23" s="873">
        <f>+L14</f>
        <v>0</v>
      </c>
      <c r="M23" s="873">
        <f>+M14*1.015</f>
        <v>0</v>
      </c>
      <c r="N23" s="873">
        <f t="shared" ref="N23:N26" si="17">+L23*M23/1000*B23</f>
        <v>0</v>
      </c>
      <c r="O23" s="873">
        <f>+O14</f>
        <v>0</v>
      </c>
      <c r="P23" s="873">
        <f>+P14*1.015</f>
        <v>0</v>
      </c>
      <c r="Q23" s="873">
        <f t="shared" ref="Q23:Q26" si="18">+O23*P23/1000*B23</f>
        <v>0</v>
      </c>
      <c r="R23" s="873">
        <f>+R14</f>
        <v>0</v>
      </c>
      <c r="S23" s="873">
        <f>+S14*1.015</f>
        <v>0</v>
      </c>
      <c r="T23" s="873">
        <f t="shared" ref="T23:T26" si="19">+R23*S23/1000*B23</f>
        <v>0</v>
      </c>
      <c r="U23" s="877" t="e">
        <f>+U14/B14*B23*1.015</f>
        <v>#DIV/0!</v>
      </c>
      <c r="V23" s="877" t="e">
        <f>+V14/B14*B23*1.015</f>
        <v>#DIV/0!</v>
      </c>
      <c r="W23" s="1279" t="e">
        <f>E23+H23+K23+N23+Q23+T23+U23+V23</f>
        <v>#DIV/0!</v>
      </c>
      <c r="X23" s="1282" t="e">
        <f>+W23/D23</f>
        <v>#DIV/0!</v>
      </c>
    </row>
    <row r="24" spans="1:24">
      <c r="A24" s="876" t="s">
        <v>338</v>
      </c>
      <c r="B24" s="871"/>
      <c r="C24" s="871"/>
      <c r="D24" s="871">
        <f t="shared" ref="D24:D26" si="20">+B24*C24/10</f>
        <v>0</v>
      </c>
      <c r="E24" s="873"/>
      <c r="F24" s="873">
        <f>+F15</f>
        <v>0</v>
      </c>
      <c r="G24" s="873">
        <f>+G15*1.015</f>
        <v>0</v>
      </c>
      <c r="H24" s="873">
        <f t="shared" si="15"/>
        <v>0</v>
      </c>
      <c r="I24" s="873">
        <f>+I15</f>
        <v>0</v>
      </c>
      <c r="J24" s="873">
        <f>+J15*1.015</f>
        <v>0</v>
      </c>
      <c r="K24" s="873">
        <f t="shared" si="16"/>
        <v>0</v>
      </c>
      <c r="L24" s="873">
        <f>+L15</f>
        <v>0</v>
      </c>
      <c r="M24" s="873">
        <f>+M15*1.015</f>
        <v>0</v>
      </c>
      <c r="N24" s="873">
        <f t="shared" si="17"/>
        <v>0</v>
      </c>
      <c r="O24" s="873">
        <f>+O15</f>
        <v>0</v>
      </c>
      <c r="P24" s="873">
        <f>+P15*1.015</f>
        <v>0</v>
      </c>
      <c r="Q24" s="873">
        <f t="shared" si="18"/>
        <v>0</v>
      </c>
      <c r="R24" s="873">
        <f>+R15</f>
        <v>0</v>
      </c>
      <c r="S24" s="873">
        <f>+S15*1.015</f>
        <v>0</v>
      </c>
      <c r="T24" s="873">
        <f t="shared" si="19"/>
        <v>0</v>
      </c>
      <c r="U24" s="877"/>
      <c r="V24" s="877"/>
      <c r="W24" s="1279">
        <f t="shared" ref="W24:W26" si="21">E24+H24+K24+N24+Q24+T24+U24+V24</f>
        <v>0</v>
      </c>
      <c r="X24" s="1282" t="e">
        <f t="shared" ref="X24:X26" si="22">+W24/D24</f>
        <v>#DIV/0!</v>
      </c>
    </row>
    <row r="25" spans="1:24">
      <c r="A25" s="876" t="s">
        <v>337</v>
      </c>
      <c r="B25" s="871"/>
      <c r="C25" s="871"/>
      <c r="D25" s="871">
        <f t="shared" si="20"/>
        <v>0</v>
      </c>
      <c r="E25" s="873"/>
      <c r="F25" s="873">
        <f>+F16</f>
        <v>0</v>
      </c>
      <c r="G25" s="873">
        <f>+G16*1.015</f>
        <v>0</v>
      </c>
      <c r="H25" s="873">
        <f>F25*G25/1000*B25</f>
        <v>0</v>
      </c>
      <c r="I25" s="873">
        <f>+I16</f>
        <v>0</v>
      </c>
      <c r="J25" s="873">
        <f>+J16*1.015</f>
        <v>0</v>
      </c>
      <c r="K25" s="873">
        <f>+I25*J25/1000*B25</f>
        <v>0</v>
      </c>
      <c r="L25" s="873">
        <f>+L16</f>
        <v>0</v>
      </c>
      <c r="M25" s="873">
        <f>+M16*1.015</f>
        <v>0</v>
      </c>
      <c r="N25" s="873">
        <f>+L25*M25/1000*B25</f>
        <v>0</v>
      </c>
      <c r="O25" s="873">
        <f>+O16</f>
        <v>0</v>
      </c>
      <c r="P25" s="873">
        <f>+P16*1.015</f>
        <v>0</v>
      </c>
      <c r="Q25" s="873">
        <f>+O25*P25/1000*B25</f>
        <v>0</v>
      </c>
      <c r="R25" s="873">
        <f>+R16</f>
        <v>0</v>
      </c>
      <c r="S25" s="873">
        <f>+S16*1.015</f>
        <v>0</v>
      </c>
      <c r="T25" s="873">
        <f>+R25*S25/1000*B25</f>
        <v>0</v>
      </c>
      <c r="U25" s="877"/>
      <c r="V25" s="877"/>
      <c r="W25" s="1279">
        <f t="shared" si="21"/>
        <v>0</v>
      </c>
      <c r="X25" s="1282" t="e">
        <f t="shared" si="22"/>
        <v>#DIV/0!</v>
      </c>
    </row>
    <row r="26" spans="1:24">
      <c r="A26" s="876" t="s">
        <v>432</v>
      </c>
      <c r="B26" s="871"/>
      <c r="C26" s="871"/>
      <c r="D26" s="871">
        <f t="shared" si="20"/>
        <v>0</v>
      </c>
      <c r="E26" s="873"/>
      <c r="F26" s="873">
        <f>+F17</f>
        <v>0</v>
      </c>
      <c r="G26" s="873">
        <f>+G17*1.015</f>
        <v>0</v>
      </c>
      <c r="H26" s="873">
        <f t="shared" si="15"/>
        <v>0</v>
      </c>
      <c r="I26" s="873">
        <f>+I17</f>
        <v>0</v>
      </c>
      <c r="J26" s="873">
        <f>+J17*1.015</f>
        <v>0</v>
      </c>
      <c r="K26" s="873">
        <f t="shared" si="16"/>
        <v>0</v>
      </c>
      <c r="L26" s="873">
        <f>+L17</f>
        <v>0</v>
      </c>
      <c r="M26" s="873">
        <f>+M17*1.015</f>
        <v>0</v>
      </c>
      <c r="N26" s="873">
        <f t="shared" si="17"/>
        <v>0</v>
      </c>
      <c r="O26" s="873">
        <f>+O17</f>
        <v>0</v>
      </c>
      <c r="P26" s="873">
        <f>+P17*1.015</f>
        <v>0</v>
      </c>
      <c r="Q26" s="873">
        <f t="shared" si="18"/>
        <v>0</v>
      </c>
      <c r="R26" s="873">
        <f>+R17</f>
        <v>0</v>
      </c>
      <c r="S26" s="873">
        <f>+S17*1.015</f>
        <v>0</v>
      </c>
      <c r="T26" s="873">
        <f t="shared" si="19"/>
        <v>0</v>
      </c>
      <c r="U26" s="877"/>
      <c r="V26" s="877"/>
      <c r="W26" s="1279">
        <f t="shared" si="21"/>
        <v>0</v>
      </c>
      <c r="X26" s="1282" t="e">
        <f t="shared" si="22"/>
        <v>#DIV/0!</v>
      </c>
    </row>
    <row r="27" spans="1:24" ht="13.5" thickBot="1">
      <c r="A27" s="1270" t="s">
        <v>433</v>
      </c>
      <c r="B27" s="1276"/>
      <c r="C27" s="1276"/>
      <c r="D27" s="1276"/>
      <c r="E27" s="1276"/>
      <c r="F27" s="1272" t="s">
        <v>221</v>
      </c>
      <c r="G27" s="1273" t="s">
        <v>221</v>
      </c>
      <c r="H27" s="1273">
        <f>SUM(H23:H26)</f>
        <v>0</v>
      </c>
      <c r="I27" s="1273" t="s">
        <v>221</v>
      </c>
      <c r="J27" s="1273" t="s">
        <v>221</v>
      </c>
      <c r="K27" s="1273">
        <f>SUM(K23:K26)</f>
        <v>0</v>
      </c>
      <c r="L27" s="1273" t="s">
        <v>221</v>
      </c>
      <c r="M27" s="1273" t="s">
        <v>221</v>
      </c>
      <c r="N27" s="1273">
        <f>SUM(N23:N26)</f>
        <v>0</v>
      </c>
      <c r="O27" s="1273" t="s">
        <v>221</v>
      </c>
      <c r="P27" s="1273" t="s">
        <v>221</v>
      </c>
      <c r="Q27" s="1273">
        <f>SUM(Q23:Q26)</f>
        <v>0</v>
      </c>
      <c r="R27" s="1273" t="s">
        <v>221</v>
      </c>
      <c r="S27" s="1273" t="s">
        <v>221</v>
      </c>
      <c r="T27" s="1273">
        <f>SUM(T23:T26)</f>
        <v>0</v>
      </c>
      <c r="U27" s="1274"/>
      <c r="V27" s="1274"/>
      <c r="W27" s="1277" t="e">
        <f>SUM(W23:W26)</f>
        <v>#DIV/0!</v>
      </c>
      <c r="X27" s="1275" t="e">
        <f>SUM(X23:X26)</f>
        <v>#DIV/0!</v>
      </c>
    </row>
    <row r="28" spans="1:24" ht="13.5" thickTop="1"/>
    <row r="29" spans="1:24" ht="13.5" thickBot="1">
      <c r="A29" s="868">
        <f>+A20+1</f>
        <v>2022</v>
      </c>
    </row>
    <row r="30" spans="1:24" ht="24.95" customHeight="1" thickTop="1">
      <c r="A30" s="2324" t="s">
        <v>224</v>
      </c>
      <c r="B30" s="2326" t="s">
        <v>434</v>
      </c>
      <c r="C30" s="2314" t="s">
        <v>437</v>
      </c>
      <c r="D30" s="2316"/>
      <c r="E30" s="2320" t="s">
        <v>439</v>
      </c>
      <c r="F30" s="2314" t="s">
        <v>422</v>
      </c>
      <c r="G30" s="2315"/>
      <c r="H30" s="2316"/>
      <c r="I30" s="2314" t="s">
        <v>423</v>
      </c>
      <c r="J30" s="2315"/>
      <c r="K30" s="2316"/>
      <c r="L30" s="2314" t="s">
        <v>424</v>
      </c>
      <c r="M30" s="2315"/>
      <c r="N30" s="2316"/>
      <c r="O30" s="2314" t="s">
        <v>425</v>
      </c>
      <c r="P30" s="2315"/>
      <c r="Q30" s="2316"/>
      <c r="R30" s="2317" t="s">
        <v>426</v>
      </c>
      <c r="S30" s="2318"/>
      <c r="T30" s="2319"/>
      <c r="U30" s="2320" t="s">
        <v>442</v>
      </c>
      <c r="V30" s="2320" t="s">
        <v>444</v>
      </c>
      <c r="W30" s="2322" t="s">
        <v>427</v>
      </c>
      <c r="X30" s="2312" t="s">
        <v>443</v>
      </c>
    </row>
    <row r="31" spans="1:24" ht="38.25">
      <c r="A31" s="2325"/>
      <c r="B31" s="2327"/>
      <c r="C31" s="870" t="s">
        <v>438</v>
      </c>
      <c r="D31" s="870" t="s">
        <v>315</v>
      </c>
      <c r="E31" s="2321"/>
      <c r="F31" s="870" t="s">
        <v>435</v>
      </c>
      <c r="G31" s="870" t="s">
        <v>436</v>
      </c>
      <c r="H31" s="870" t="s">
        <v>429</v>
      </c>
      <c r="I31" s="870" t="s">
        <v>430</v>
      </c>
      <c r="J31" s="870" t="s">
        <v>436</v>
      </c>
      <c r="K31" s="870" t="s">
        <v>429</v>
      </c>
      <c r="L31" s="870" t="s">
        <v>430</v>
      </c>
      <c r="M31" s="870" t="s">
        <v>436</v>
      </c>
      <c r="N31" s="870" t="s">
        <v>429</v>
      </c>
      <c r="O31" s="870" t="s">
        <v>430</v>
      </c>
      <c r="P31" s="870" t="s">
        <v>436</v>
      </c>
      <c r="Q31" s="870" t="s">
        <v>429</v>
      </c>
      <c r="R31" s="870" t="s">
        <v>445</v>
      </c>
      <c r="S31" s="870" t="s">
        <v>431</v>
      </c>
      <c r="T31" s="870" t="s">
        <v>429</v>
      </c>
      <c r="U31" s="2321"/>
      <c r="V31" s="2321"/>
      <c r="W31" s="2323"/>
      <c r="X31" s="2313"/>
    </row>
    <row r="32" spans="1:24">
      <c r="A32" s="875" t="s">
        <v>210</v>
      </c>
      <c r="B32" s="871"/>
      <c r="C32" s="871"/>
      <c r="D32" s="871">
        <f>+B32*C32/10</f>
        <v>0</v>
      </c>
      <c r="E32" s="873" t="e">
        <f>+E23/D23*D32*1.012</f>
        <v>#DIV/0!</v>
      </c>
      <c r="F32" s="873">
        <f>+F23</f>
        <v>0</v>
      </c>
      <c r="G32" s="873">
        <f>+G23*1.015</f>
        <v>0</v>
      </c>
      <c r="H32" s="873">
        <f t="shared" ref="H32:H35" si="23">F32*G32/1000*B32</f>
        <v>0</v>
      </c>
      <c r="I32" s="873">
        <f>+I23</f>
        <v>0</v>
      </c>
      <c r="J32" s="873">
        <f>+J23*1.015</f>
        <v>0</v>
      </c>
      <c r="K32" s="873">
        <f t="shared" ref="K32:K35" si="24">+I32*J32/1000*B32</f>
        <v>0</v>
      </c>
      <c r="L32" s="873">
        <f>+L23</f>
        <v>0</v>
      </c>
      <c r="M32" s="873">
        <f>+M23*1.015</f>
        <v>0</v>
      </c>
      <c r="N32" s="873">
        <f t="shared" ref="N32:N35" si="25">+L32*M32/1000*B32</f>
        <v>0</v>
      </c>
      <c r="O32" s="873">
        <f>+O23</f>
        <v>0</v>
      </c>
      <c r="P32" s="873">
        <f>+P23*1.015</f>
        <v>0</v>
      </c>
      <c r="Q32" s="873">
        <f t="shared" ref="Q32:Q35" si="26">+O32*P32/1000*B32</f>
        <v>0</v>
      </c>
      <c r="R32" s="873">
        <f>+R23</f>
        <v>0</v>
      </c>
      <c r="S32" s="873">
        <f>+S23*1.015</f>
        <v>0</v>
      </c>
      <c r="T32" s="873">
        <f t="shared" ref="T32:T35" si="27">+R32*S32/1000*B32</f>
        <v>0</v>
      </c>
      <c r="U32" s="877" t="e">
        <f>+U23/B23*B32*1.015</f>
        <v>#DIV/0!</v>
      </c>
      <c r="V32" s="877" t="e">
        <f>+V23/B23*B32*1.015</f>
        <v>#DIV/0!</v>
      </c>
      <c r="W32" s="1279" t="e">
        <f>E32+H32+K32+N32+Q32+T32+U32+V32</f>
        <v>#DIV/0!</v>
      </c>
      <c r="X32" s="1282" t="e">
        <f>+W32/D32</f>
        <v>#DIV/0!</v>
      </c>
    </row>
    <row r="33" spans="1:24">
      <c r="A33" s="876" t="s">
        <v>338</v>
      </c>
      <c r="B33" s="871"/>
      <c r="C33" s="871"/>
      <c r="D33" s="871">
        <f t="shared" ref="D33:D35" si="28">+B33*C33/10</f>
        <v>0</v>
      </c>
      <c r="E33" s="873"/>
      <c r="F33" s="873">
        <f>+F24</f>
        <v>0</v>
      </c>
      <c r="G33" s="873">
        <f>+G24*1.015</f>
        <v>0</v>
      </c>
      <c r="H33" s="873">
        <f t="shared" si="23"/>
        <v>0</v>
      </c>
      <c r="I33" s="873">
        <f>+I24</f>
        <v>0</v>
      </c>
      <c r="J33" s="873">
        <f>+J24*1.015</f>
        <v>0</v>
      </c>
      <c r="K33" s="873">
        <f t="shared" si="24"/>
        <v>0</v>
      </c>
      <c r="L33" s="873">
        <f>+L24</f>
        <v>0</v>
      </c>
      <c r="M33" s="873">
        <f>+M24*1.015</f>
        <v>0</v>
      </c>
      <c r="N33" s="873">
        <f t="shared" si="25"/>
        <v>0</v>
      </c>
      <c r="O33" s="873">
        <f>+O24</f>
        <v>0</v>
      </c>
      <c r="P33" s="873">
        <f>+P24*1.015</f>
        <v>0</v>
      </c>
      <c r="Q33" s="873">
        <f t="shared" si="26"/>
        <v>0</v>
      </c>
      <c r="R33" s="873">
        <f>+R24</f>
        <v>0</v>
      </c>
      <c r="S33" s="873">
        <f>+S24*1.015</f>
        <v>0</v>
      </c>
      <c r="T33" s="873">
        <f t="shared" si="27"/>
        <v>0</v>
      </c>
      <c r="U33" s="877"/>
      <c r="V33" s="877"/>
      <c r="W33" s="1279">
        <f t="shared" ref="W33:W35" si="29">E33+H33+K33+N33+Q33+T33+U33+V33</f>
        <v>0</v>
      </c>
      <c r="X33" s="1282" t="e">
        <f t="shared" ref="X33:X35" si="30">+W33/D33</f>
        <v>#DIV/0!</v>
      </c>
    </row>
    <row r="34" spans="1:24">
      <c r="A34" s="876" t="s">
        <v>337</v>
      </c>
      <c r="B34" s="871"/>
      <c r="C34" s="871"/>
      <c r="D34" s="871">
        <f t="shared" si="28"/>
        <v>0</v>
      </c>
      <c r="E34" s="873"/>
      <c r="F34" s="873">
        <f>+F25</f>
        <v>0</v>
      </c>
      <c r="G34" s="873">
        <f>+G25*1.015</f>
        <v>0</v>
      </c>
      <c r="H34" s="873">
        <f>F34*G34/1000*B34</f>
        <v>0</v>
      </c>
      <c r="I34" s="873">
        <f>+I25</f>
        <v>0</v>
      </c>
      <c r="J34" s="873">
        <f>+J25*1.015</f>
        <v>0</v>
      </c>
      <c r="K34" s="873">
        <f>+I34*J34/1000*B34</f>
        <v>0</v>
      </c>
      <c r="L34" s="873">
        <f>+L25</f>
        <v>0</v>
      </c>
      <c r="M34" s="873">
        <f>+M25*1.015</f>
        <v>0</v>
      </c>
      <c r="N34" s="873">
        <f>+L34*M34/1000*B34</f>
        <v>0</v>
      </c>
      <c r="O34" s="873">
        <f>+O25</f>
        <v>0</v>
      </c>
      <c r="P34" s="873">
        <f>+P25*1.015</f>
        <v>0</v>
      </c>
      <c r="Q34" s="873">
        <f>+O34*P34/1000*B34</f>
        <v>0</v>
      </c>
      <c r="R34" s="873">
        <f>+R25</f>
        <v>0</v>
      </c>
      <c r="S34" s="873">
        <f>+S25*1.015</f>
        <v>0</v>
      </c>
      <c r="T34" s="873">
        <f>+R34*S34/1000*B34</f>
        <v>0</v>
      </c>
      <c r="U34" s="877"/>
      <c r="V34" s="877"/>
      <c r="W34" s="1279">
        <f t="shared" si="29"/>
        <v>0</v>
      </c>
      <c r="X34" s="1282" t="e">
        <f t="shared" si="30"/>
        <v>#DIV/0!</v>
      </c>
    </row>
    <row r="35" spans="1:24">
      <c r="A35" s="876" t="s">
        <v>432</v>
      </c>
      <c r="B35" s="871"/>
      <c r="C35" s="871"/>
      <c r="D35" s="871">
        <f t="shared" si="28"/>
        <v>0</v>
      </c>
      <c r="E35" s="873"/>
      <c r="F35" s="873">
        <f>+F26</f>
        <v>0</v>
      </c>
      <c r="G35" s="873">
        <f>+G26*1.015</f>
        <v>0</v>
      </c>
      <c r="H35" s="873">
        <f t="shared" si="23"/>
        <v>0</v>
      </c>
      <c r="I35" s="873">
        <f>+I26</f>
        <v>0</v>
      </c>
      <c r="J35" s="873">
        <f>+J26*1.015</f>
        <v>0</v>
      </c>
      <c r="K35" s="873">
        <f t="shared" si="24"/>
        <v>0</v>
      </c>
      <c r="L35" s="873">
        <f>+L26</f>
        <v>0</v>
      </c>
      <c r="M35" s="873">
        <f>+M26*1.015</f>
        <v>0</v>
      </c>
      <c r="N35" s="873">
        <f t="shared" si="25"/>
        <v>0</v>
      </c>
      <c r="O35" s="873">
        <f>+O26</f>
        <v>0</v>
      </c>
      <c r="P35" s="873">
        <f>+P26*1.015</f>
        <v>0</v>
      </c>
      <c r="Q35" s="873">
        <f t="shared" si="26"/>
        <v>0</v>
      </c>
      <c r="R35" s="873">
        <f>+R26</f>
        <v>0</v>
      </c>
      <c r="S35" s="873">
        <f>+S26*1.015</f>
        <v>0</v>
      </c>
      <c r="T35" s="873">
        <f t="shared" si="27"/>
        <v>0</v>
      </c>
      <c r="U35" s="877"/>
      <c r="V35" s="877"/>
      <c r="W35" s="1279">
        <f t="shared" si="29"/>
        <v>0</v>
      </c>
      <c r="X35" s="1282" t="e">
        <f t="shared" si="30"/>
        <v>#DIV/0!</v>
      </c>
    </row>
    <row r="36" spans="1:24" ht="13.5" thickBot="1">
      <c r="A36" s="1270" t="s">
        <v>433</v>
      </c>
      <c r="B36" s="1276"/>
      <c r="C36" s="1276"/>
      <c r="D36" s="1276"/>
      <c r="E36" s="1276"/>
      <c r="F36" s="1272" t="s">
        <v>221</v>
      </c>
      <c r="G36" s="1273" t="s">
        <v>221</v>
      </c>
      <c r="H36" s="1273">
        <f>SUM(H32:H35)</f>
        <v>0</v>
      </c>
      <c r="I36" s="1273" t="s">
        <v>221</v>
      </c>
      <c r="J36" s="1273" t="s">
        <v>221</v>
      </c>
      <c r="K36" s="1273">
        <f>SUM(K32:K35)</f>
        <v>0</v>
      </c>
      <c r="L36" s="1273" t="s">
        <v>221</v>
      </c>
      <c r="M36" s="1273" t="s">
        <v>221</v>
      </c>
      <c r="N36" s="1273">
        <f>SUM(N32:N35)</f>
        <v>0</v>
      </c>
      <c r="O36" s="1273" t="s">
        <v>221</v>
      </c>
      <c r="P36" s="1273" t="s">
        <v>221</v>
      </c>
      <c r="Q36" s="1273">
        <f>SUM(Q32:Q35)</f>
        <v>0</v>
      </c>
      <c r="R36" s="1273" t="s">
        <v>221</v>
      </c>
      <c r="S36" s="1273" t="s">
        <v>221</v>
      </c>
      <c r="T36" s="1273">
        <f>SUM(T32:T35)</f>
        <v>0</v>
      </c>
      <c r="U36" s="1274"/>
      <c r="V36" s="1274"/>
      <c r="W36" s="1277" t="e">
        <f>SUM(W32:W35)</f>
        <v>#DIV/0!</v>
      </c>
      <c r="X36" s="1275" t="e">
        <f>SUM(X32:X35)</f>
        <v>#DIV/0!</v>
      </c>
    </row>
    <row r="37" spans="1:24" ht="13.5" thickTop="1"/>
    <row r="38" spans="1:24" ht="13.5" thickBot="1">
      <c r="A38" s="868">
        <f>+A29+1</f>
        <v>2023</v>
      </c>
    </row>
    <row r="39" spans="1:24" ht="24" customHeight="1" thickTop="1">
      <c r="A39" s="2324" t="s">
        <v>224</v>
      </c>
      <c r="B39" s="2326" t="s">
        <v>434</v>
      </c>
      <c r="C39" s="2314" t="s">
        <v>437</v>
      </c>
      <c r="D39" s="2316"/>
      <c r="E39" s="2320" t="s">
        <v>439</v>
      </c>
      <c r="F39" s="2314" t="s">
        <v>422</v>
      </c>
      <c r="G39" s="2315"/>
      <c r="H39" s="2316"/>
      <c r="I39" s="2314" t="s">
        <v>423</v>
      </c>
      <c r="J39" s="2315"/>
      <c r="K39" s="2316"/>
      <c r="L39" s="2314" t="s">
        <v>424</v>
      </c>
      <c r="M39" s="2315"/>
      <c r="N39" s="2316"/>
      <c r="O39" s="2314" t="s">
        <v>425</v>
      </c>
      <c r="P39" s="2315"/>
      <c r="Q39" s="2316"/>
      <c r="R39" s="2317" t="s">
        <v>426</v>
      </c>
      <c r="S39" s="2318"/>
      <c r="T39" s="2319"/>
      <c r="U39" s="2320" t="s">
        <v>442</v>
      </c>
      <c r="V39" s="2320" t="s">
        <v>444</v>
      </c>
      <c r="W39" s="2322" t="s">
        <v>427</v>
      </c>
      <c r="X39" s="2312" t="s">
        <v>443</v>
      </c>
    </row>
    <row r="40" spans="1:24" ht="38.25">
      <c r="A40" s="2325"/>
      <c r="B40" s="2327"/>
      <c r="C40" s="870" t="s">
        <v>438</v>
      </c>
      <c r="D40" s="870" t="s">
        <v>315</v>
      </c>
      <c r="E40" s="2321"/>
      <c r="F40" s="870" t="s">
        <v>435</v>
      </c>
      <c r="G40" s="870" t="s">
        <v>436</v>
      </c>
      <c r="H40" s="870" t="s">
        <v>429</v>
      </c>
      <c r="I40" s="870" t="s">
        <v>430</v>
      </c>
      <c r="J40" s="870" t="s">
        <v>436</v>
      </c>
      <c r="K40" s="870" t="s">
        <v>429</v>
      </c>
      <c r="L40" s="870" t="s">
        <v>430</v>
      </c>
      <c r="M40" s="870" t="s">
        <v>436</v>
      </c>
      <c r="N40" s="870" t="s">
        <v>429</v>
      </c>
      <c r="O40" s="870" t="s">
        <v>430</v>
      </c>
      <c r="P40" s="870" t="s">
        <v>436</v>
      </c>
      <c r="Q40" s="870" t="s">
        <v>429</v>
      </c>
      <c r="R40" s="870" t="s">
        <v>445</v>
      </c>
      <c r="S40" s="870" t="s">
        <v>431</v>
      </c>
      <c r="T40" s="870" t="s">
        <v>429</v>
      </c>
      <c r="U40" s="2321"/>
      <c r="V40" s="2321"/>
      <c r="W40" s="2323"/>
      <c r="X40" s="2313"/>
    </row>
    <row r="41" spans="1:24">
      <c r="A41" s="875" t="s">
        <v>210</v>
      </c>
      <c r="B41" s="871"/>
      <c r="C41" s="871"/>
      <c r="D41" s="871">
        <f>+B41*C41/10</f>
        <v>0</v>
      </c>
      <c r="E41" s="873" t="e">
        <f>+E32/D32*D41*1.012</f>
        <v>#DIV/0!</v>
      </c>
      <c r="F41" s="873">
        <f>+F32</f>
        <v>0</v>
      </c>
      <c r="G41" s="873">
        <f>+G32*1.015</f>
        <v>0</v>
      </c>
      <c r="H41" s="873">
        <f t="shared" ref="H41:H44" si="31">F41*G41/1000*B41</f>
        <v>0</v>
      </c>
      <c r="I41" s="873">
        <f>+I32</f>
        <v>0</v>
      </c>
      <c r="J41" s="873">
        <f>+J32*1.015</f>
        <v>0</v>
      </c>
      <c r="K41" s="873">
        <f t="shared" ref="K41:K44" si="32">+I41*J41/1000*B41</f>
        <v>0</v>
      </c>
      <c r="L41" s="873">
        <f>+L32</f>
        <v>0</v>
      </c>
      <c r="M41" s="873">
        <f>+M32*1.015</f>
        <v>0</v>
      </c>
      <c r="N41" s="873">
        <f t="shared" ref="N41:N44" si="33">+L41*M41/1000*B41</f>
        <v>0</v>
      </c>
      <c r="O41" s="873">
        <f>+O32</f>
        <v>0</v>
      </c>
      <c r="P41" s="873">
        <f>+P32*1.015</f>
        <v>0</v>
      </c>
      <c r="Q41" s="873">
        <f t="shared" ref="Q41:Q44" si="34">+O41*P41/1000*B41</f>
        <v>0</v>
      </c>
      <c r="R41" s="873">
        <f>+R32</f>
        <v>0</v>
      </c>
      <c r="S41" s="873">
        <f>+S32*1.015</f>
        <v>0</v>
      </c>
      <c r="T41" s="873">
        <f t="shared" ref="T41:T44" si="35">+R41*S41/1000*B41</f>
        <v>0</v>
      </c>
      <c r="U41" s="877" t="e">
        <f>+U32/B32*B41*1.015</f>
        <v>#DIV/0!</v>
      </c>
      <c r="V41" s="877" t="e">
        <f>+V32/B32*B41*1.015</f>
        <v>#DIV/0!</v>
      </c>
      <c r="W41" s="1278" t="e">
        <f>+H41+K41+N41+Q41+T41+U41+V41</f>
        <v>#DIV/0!</v>
      </c>
      <c r="X41" s="1282" t="e">
        <f>+W41/D41</f>
        <v>#DIV/0!</v>
      </c>
    </row>
    <row r="42" spans="1:24">
      <c r="A42" s="876" t="s">
        <v>338</v>
      </c>
      <c r="B42" s="871"/>
      <c r="C42" s="871"/>
      <c r="D42" s="871">
        <f t="shared" ref="D42:D44" si="36">+B42*C42/10</f>
        <v>0</v>
      </c>
      <c r="E42" s="873"/>
      <c r="F42" s="873">
        <f>+F33</f>
        <v>0</v>
      </c>
      <c r="G42" s="873">
        <f>+G33*1.015</f>
        <v>0</v>
      </c>
      <c r="H42" s="873">
        <f t="shared" si="31"/>
        <v>0</v>
      </c>
      <c r="I42" s="873">
        <f>+I33</f>
        <v>0</v>
      </c>
      <c r="J42" s="873">
        <f>+J33*1.015</f>
        <v>0</v>
      </c>
      <c r="K42" s="873">
        <f t="shared" si="32"/>
        <v>0</v>
      </c>
      <c r="L42" s="873">
        <f>+L33</f>
        <v>0</v>
      </c>
      <c r="M42" s="873">
        <f>+M33*1.015</f>
        <v>0</v>
      </c>
      <c r="N42" s="873">
        <f t="shared" si="33"/>
        <v>0</v>
      </c>
      <c r="O42" s="873">
        <f>+O33</f>
        <v>0</v>
      </c>
      <c r="P42" s="873">
        <f>+P33*1.015</f>
        <v>0</v>
      </c>
      <c r="Q42" s="873">
        <f t="shared" si="34"/>
        <v>0</v>
      </c>
      <c r="R42" s="873">
        <f>+R33</f>
        <v>0</v>
      </c>
      <c r="S42" s="873">
        <f>+S33*1.015</f>
        <v>0</v>
      </c>
      <c r="T42" s="873">
        <f t="shared" si="35"/>
        <v>0</v>
      </c>
      <c r="U42" s="877"/>
      <c r="V42" s="877"/>
      <c r="W42" s="1278">
        <f t="shared" ref="W42:W44" si="37">+H42+K42+N42+Q42+T42+U42+V42</f>
        <v>0</v>
      </c>
      <c r="X42" s="1282" t="e">
        <f t="shared" ref="X42:X44" si="38">+W42/D42</f>
        <v>#DIV/0!</v>
      </c>
    </row>
    <row r="43" spans="1:24">
      <c r="A43" s="876" t="s">
        <v>337</v>
      </c>
      <c r="B43" s="871"/>
      <c r="C43" s="871"/>
      <c r="D43" s="871">
        <f t="shared" si="36"/>
        <v>0</v>
      </c>
      <c r="E43" s="873"/>
      <c r="F43" s="873">
        <f>+F34</f>
        <v>0</v>
      </c>
      <c r="G43" s="873">
        <f>+G34*1.015</f>
        <v>0</v>
      </c>
      <c r="H43" s="873">
        <f>F43*G43/1000*B43</f>
        <v>0</v>
      </c>
      <c r="I43" s="873">
        <f>+I34</f>
        <v>0</v>
      </c>
      <c r="J43" s="873">
        <f>+J34*1.015</f>
        <v>0</v>
      </c>
      <c r="K43" s="873">
        <f>+I43*J43/1000*B43</f>
        <v>0</v>
      </c>
      <c r="L43" s="873">
        <f>+L34</f>
        <v>0</v>
      </c>
      <c r="M43" s="873">
        <f>+M34*1.015</f>
        <v>0</v>
      </c>
      <c r="N43" s="873">
        <f>+L43*M43/1000*B43</f>
        <v>0</v>
      </c>
      <c r="O43" s="873">
        <f>+O34</f>
        <v>0</v>
      </c>
      <c r="P43" s="873">
        <f>+P34*1.015</f>
        <v>0</v>
      </c>
      <c r="Q43" s="873">
        <f>+O43*P43/1000*B43</f>
        <v>0</v>
      </c>
      <c r="R43" s="873">
        <f>+R34</f>
        <v>0</v>
      </c>
      <c r="S43" s="873">
        <f>+S34*1.015</f>
        <v>0</v>
      </c>
      <c r="T43" s="873">
        <f>+R43*S43/1000*B43</f>
        <v>0</v>
      </c>
      <c r="U43" s="877"/>
      <c r="V43" s="877"/>
      <c r="W43" s="1278">
        <f t="shared" si="37"/>
        <v>0</v>
      </c>
      <c r="X43" s="1282" t="e">
        <f t="shared" si="38"/>
        <v>#DIV/0!</v>
      </c>
    </row>
    <row r="44" spans="1:24">
      <c r="A44" s="876" t="s">
        <v>432</v>
      </c>
      <c r="B44" s="871"/>
      <c r="C44" s="871"/>
      <c r="D44" s="871">
        <f t="shared" si="36"/>
        <v>0</v>
      </c>
      <c r="E44" s="873"/>
      <c r="F44" s="873">
        <f>+F35</f>
        <v>0</v>
      </c>
      <c r="G44" s="873">
        <f>+G35*1.015</f>
        <v>0</v>
      </c>
      <c r="H44" s="873">
        <f t="shared" si="31"/>
        <v>0</v>
      </c>
      <c r="I44" s="873">
        <f>+I35</f>
        <v>0</v>
      </c>
      <c r="J44" s="873">
        <f>+J35*1.015</f>
        <v>0</v>
      </c>
      <c r="K44" s="873">
        <f t="shared" si="32"/>
        <v>0</v>
      </c>
      <c r="L44" s="873">
        <f>+L35</f>
        <v>0</v>
      </c>
      <c r="M44" s="873">
        <f>+M35*1.015</f>
        <v>0</v>
      </c>
      <c r="N44" s="873">
        <f t="shared" si="33"/>
        <v>0</v>
      </c>
      <c r="O44" s="873">
        <f>+O35</f>
        <v>0</v>
      </c>
      <c r="P44" s="873">
        <f>+P35*1.015</f>
        <v>0</v>
      </c>
      <c r="Q44" s="873">
        <f t="shared" si="34"/>
        <v>0</v>
      </c>
      <c r="R44" s="873">
        <f>+R35</f>
        <v>0</v>
      </c>
      <c r="S44" s="873">
        <f>+S35*1.015</f>
        <v>0</v>
      </c>
      <c r="T44" s="873">
        <f t="shared" si="35"/>
        <v>0</v>
      </c>
      <c r="U44" s="877"/>
      <c r="V44" s="877"/>
      <c r="W44" s="1278">
        <f t="shared" si="37"/>
        <v>0</v>
      </c>
      <c r="X44" s="1282" t="e">
        <f t="shared" si="38"/>
        <v>#DIV/0!</v>
      </c>
    </row>
    <row r="45" spans="1:24" ht="13.5" thickBot="1">
      <c r="A45" s="1270" t="s">
        <v>433</v>
      </c>
      <c r="B45" s="1276"/>
      <c r="C45" s="1276"/>
      <c r="D45" s="1276"/>
      <c r="E45" s="1276"/>
      <c r="F45" s="1272" t="s">
        <v>221</v>
      </c>
      <c r="G45" s="1273" t="s">
        <v>221</v>
      </c>
      <c r="H45" s="1273">
        <f>SUM(H41:H44)</f>
        <v>0</v>
      </c>
      <c r="I45" s="1273" t="s">
        <v>221</v>
      </c>
      <c r="J45" s="1273" t="s">
        <v>221</v>
      </c>
      <c r="K45" s="1273">
        <f>SUM(K41:K44)</f>
        <v>0</v>
      </c>
      <c r="L45" s="1273" t="s">
        <v>221</v>
      </c>
      <c r="M45" s="1273" t="s">
        <v>221</v>
      </c>
      <c r="N45" s="1273">
        <f>SUM(N41:N44)</f>
        <v>0</v>
      </c>
      <c r="O45" s="1273" t="s">
        <v>221</v>
      </c>
      <c r="P45" s="1273" t="s">
        <v>221</v>
      </c>
      <c r="Q45" s="1273">
        <f>SUM(Q41:Q44)</f>
        <v>0</v>
      </c>
      <c r="R45" s="1273" t="s">
        <v>221</v>
      </c>
      <c r="S45" s="1273" t="s">
        <v>221</v>
      </c>
      <c r="T45" s="1273">
        <f>SUM(T41:T44)</f>
        <v>0</v>
      </c>
      <c r="U45" s="1274"/>
      <c r="V45" s="1274"/>
      <c r="W45" s="1277" t="e">
        <f>SUM(W41:W44)</f>
        <v>#DIV/0!</v>
      </c>
      <c r="X45" s="1275" t="e">
        <f>SUM(X41:X44)</f>
        <v>#DIV/0!</v>
      </c>
    </row>
    <row r="46" spans="1:24" ht="13.5" thickTop="1"/>
    <row r="47" spans="1:24" ht="13.5" thickBot="1">
      <c r="A47" s="868">
        <f>+A38+1</f>
        <v>2024</v>
      </c>
    </row>
    <row r="48" spans="1:24" ht="25.5" customHeight="1" thickTop="1">
      <c r="A48" s="2324" t="s">
        <v>224</v>
      </c>
      <c r="B48" s="2326" t="s">
        <v>434</v>
      </c>
      <c r="C48" s="2314" t="s">
        <v>437</v>
      </c>
      <c r="D48" s="2316"/>
      <c r="E48" s="2320" t="s">
        <v>439</v>
      </c>
      <c r="F48" s="2314" t="s">
        <v>422</v>
      </c>
      <c r="G48" s="2315"/>
      <c r="H48" s="2316"/>
      <c r="I48" s="2314" t="s">
        <v>423</v>
      </c>
      <c r="J48" s="2315"/>
      <c r="K48" s="2316"/>
      <c r="L48" s="2314" t="s">
        <v>424</v>
      </c>
      <c r="M48" s="2315"/>
      <c r="N48" s="2316"/>
      <c r="O48" s="2314" t="s">
        <v>425</v>
      </c>
      <c r="P48" s="2315"/>
      <c r="Q48" s="2316"/>
      <c r="R48" s="2317" t="s">
        <v>426</v>
      </c>
      <c r="S48" s="2318"/>
      <c r="T48" s="2319"/>
      <c r="U48" s="2320" t="s">
        <v>442</v>
      </c>
      <c r="V48" s="2320" t="s">
        <v>444</v>
      </c>
      <c r="W48" s="2322" t="s">
        <v>427</v>
      </c>
      <c r="X48" s="2312" t="s">
        <v>443</v>
      </c>
    </row>
    <row r="49" spans="1:24" ht="38.25">
      <c r="A49" s="2325"/>
      <c r="B49" s="2327"/>
      <c r="C49" s="870" t="s">
        <v>438</v>
      </c>
      <c r="D49" s="870" t="s">
        <v>315</v>
      </c>
      <c r="E49" s="2321"/>
      <c r="F49" s="870" t="s">
        <v>435</v>
      </c>
      <c r="G49" s="870" t="s">
        <v>436</v>
      </c>
      <c r="H49" s="870" t="s">
        <v>429</v>
      </c>
      <c r="I49" s="870" t="s">
        <v>430</v>
      </c>
      <c r="J49" s="870" t="s">
        <v>436</v>
      </c>
      <c r="K49" s="870" t="s">
        <v>429</v>
      </c>
      <c r="L49" s="870" t="s">
        <v>430</v>
      </c>
      <c r="M49" s="870" t="s">
        <v>436</v>
      </c>
      <c r="N49" s="870" t="s">
        <v>429</v>
      </c>
      <c r="O49" s="870" t="s">
        <v>430</v>
      </c>
      <c r="P49" s="870" t="s">
        <v>436</v>
      </c>
      <c r="Q49" s="870" t="s">
        <v>429</v>
      </c>
      <c r="R49" s="870" t="s">
        <v>445</v>
      </c>
      <c r="S49" s="870" t="s">
        <v>431</v>
      </c>
      <c r="T49" s="870" t="s">
        <v>429</v>
      </c>
      <c r="U49" s="2321"/>
      <c r="V49" s="2321"/>
      <c r="W49" s="2323"/>
      <c r="X49" s="2313"/>
    </row>
    <row r="50" spans="1:24">
      <c r="A50" s="875" t="s">
        <v>210</v>
      </c>
      <c r="B50" s="871"/>
      <c r="C50" s="871"/>
      <c r="D50" s="871">
        <f>+B50*C50/10</f>
        <v>0</v>
      </c>
      <c r="E50" s="873" t="e">
        <f>+E41/D41*D50*1.012</f>
        <v>#DIV/0!</v>
      </c>
      <c r="F50" s="873">
        <f>+F41</f>
        <v>0</v>
      </c>
      <c r="G50" s="873">
        <f>+G41*1.015</f>
        <v>0</v>
      </c>
      <c r="H50" s="873">
        <f t="shared" ref="H50:H51" si="39">F50*G50/1000*B50</f>
        <v>0</v>
      </c>
      <c r="I50" s="873">
        <f>+I41</f>
        <v>0</v>
      </c>
      <c r="J50" s="873">
        <f>+J41*1.015</f>
        <v>0</v>
      </c>
      <c r="K50" s="873">
        <f t="shared" ref="K50:K51" si="40">+I50*J50/1000*B50</f>
        <v>0</v>
      </c>
      <c r="L50" s="873">
        <f>+L41</f>
        <v>0</v>
      </c>
      <c r="M50" s="873">
        <f>+M41*1.015</f>
        <v>0</v>
      </c>
      <c r="N50" s="873">
        <f t="shared" ref="N50:N51" si="41">+L50*M50/1000*B50</f>
        <v>0</v>
      </c>
      <c r="O50" s="873">
        <f>+O41</f>
        <v>0</v>
      </c>
      <c r="P50" s="873">
        <f>+P41*1.015</f>
        <v>0</v>
      </c>
      <c r="Q50" s="873">
        <f t="shared" ref="Q50:Q51" si="42">+O50*P50/1000*B50</f>
        <v>0</v>
      </c>
      <c r="R50" s="873">
        <f>+R41</f>
        <v>0</v>
      </c>
      <c r="S50" s="873">
        <f>+S41*1.015</f>
        <v>0</v>
      </c>
      <c r="T50" s="873">
        <f t="shared" ref="T50:T51" si="43">+R50*S50/1000*B50</f>
        <v>0</v>
      </c>
      <c r="U50" s="877" t="e">
        <f>+U41/B41*B50*1.015</f>
        <v>#DIV/0!</v>
      </c>
      <c r="V50" s="877" t="e">
        <f>+V41/B41*B50*1.015</f>
        <v>#DIV/0!</v>
      </c>
      <c r="W50" s="1279" t="e">
        <f>E50+H50+K50+N50+Q50+T50+U50+V50</f>
        <v>#DIV/0!</v>
      </c>
      <c r="X50" s="1282" t="e">
        <f>+W50/D50</f>
        <v>#DIV/0!</v>
      </c>
    </row>
    <row r="51" spans="1:24">
      <c r="A51" s="876" t="s">
        <v>338</v>
      </c>
      <c r="B51" s="871"/>
      <c r="C51" s="871"/>
      <c r="D51" s="871">
        <f t="shared" ref="D51:D53" si="44">+B51*C51/10</f>
        <v>0</v>
      </c>
      <c r="E51" s="873"/>
      <c r="F51" s="873">
        <f>+F42</f>
        <v>0</v>
      </c>
      <c r="G51" s="873">
        <f>+G42*1.015</f>
        <v>0</v>
      </c>
      <c r="H51" s="873">
        <f t="shared" si="39"/>
        <v>0</v>
      </c>
      <c r="I51" s="873">
        <f>+I42</f>
        <v>0</v>
      </c>
      <c r="J51" s="873">
        <f>+J42*1.015</f>
        <v>0</v>
      </c>
      <c r="K51" s="873">
        <f t="shared" si="40"/>
        <v>0</v>
      </c>
      <c r="L51" s="873">
        <f>+L42</f>
        <v>0</v>
      </c>
      <c r="M51" s="873">
        <f>+M42*1.015</f>
        <v>0</v>
      </c>
      <c r="N51" s="873">
        <f t="shared" si="41"/>
        <v>0</v>
      </c>
      <c r="O51" s="873">
        <f>+O42</f>
        <v>0</v>
      </c>
      <c r="P51" s="873">
        <f>+P42*1.015</f>
        <v>0</v>
      </c>
      <c r="Q51" s="873">
        <f t="shared" si="42"/>
        <v>0</v>
      </c>
      <c r="R51" s="873">
        <f>+R42</f>
        <v>0</v>
      </c>
      <c r="S51" s="873">
        <f>+S42*1.015</f>
        <v>0</v>
      </c>
      <c r="T51" s="873">
        <f t="shared" si="43"/>
        <v>0</v>
      </c>
      <c r="U51" s="877"/>
      <c r="V51" s="877"/>
      <c r="W51" s="1279">
        <f t="shared" ref="W51:W53" si="45">E51+H51+K51+N51+Q51+T51+U51+V51</f>
        <v>0</v>
      </c>
      <c r="X51" s="1282" t="e">
        <f t="shared" ref="X51:X53" si="46">+W51/D51</f>
        <v>#DIV/0!</v>
      </c>
    </row>
    <row r="52" spans="1:24">
      <c r="A52" s="876" t="s">
        <v>337</v>
      </c>
      <c r="B52" s="871"/>
      <c r="C52" s="871"/>
      <c r="D52" s="871">
        <f t="shared" si="44"/>
        <v>0</v>
      </c>
      <c r="E52" s="873"/>
      <c r="F52" s="873">
        <f>+F43</f>
        <v>0</v>
      </c>
      <c r="G52" s="873">
        <f>+G43*1.015</f>
        <v>0</v>
      </c>
      <c r="H52" s="873">
        <f>F52*G52/1000*B52</f>
        <v>0</v>
      </c>
      <c r="I52" s="873">
        <f>+I43</f>
        <v>0</v>
      </c>
      <c r="J52" s="873">
        <f>+J43*1.015</f>
        <v>0</v>
      </c>
      <c r="K52" s="873">
        <f>+I52*J52/1000*B52</f>
        <v>0</v>
      </c>
      <c r="L52" s="873">
        <f>+L43</f>
        <v>0</v>
      </c>
      <c r="M52" s="873">
        <f>+M43*1.015</f>
        <v>0</v>
      </c>
      <c r="N52" s="873">
        <f>+L52*M52/1000*B52</f>
        <v>0</v>
      </c>
      <c r="O52" s="873">
        <f>+O43</f>
        <v>0</v>
      </c>
      <c r="P52" s="873">
        <f>+P43*1.015</f>
        <v>0</v>
      </c>
      <c r="Q52" s="873">
        <f>+O52*P52/1000*B52</f>
        <v>0</v>
      </c>
      <c r="R52" s="873">
        <f>+R43</f>
        <v>0</v>
      </c>
      <c r="S52" s="873">
        <f>+S43*1.015</f>
        <v>0</v>
      </c>
      <c r="T52" s="873">
        <f>+R52*S52/1000*B52</f>
        <v>0</v>
      </c>
      <c r="U52" s="877"/>
      <c r="V52" s="877"/>
      <c r="W52" s="1279">
        <f t="shared" si="45"/>
        <v>0</v>
      </c>
      <c r="X52" s="1282" t="e">
        <f t="shared" si="46"/>
        <v>#DIV/0!</v>
      </c>
    </row>
    <row r="53" spans="1:24">
      <c r="A53" s="876" t="s">
        <v>432</v>
      </c>
      <c r="B53" s="871"/>
      <c r="C53" s="871"/>
      <c r="D53" s="871">
        <f t="shared" si="44"/>
        <v>0</v>
      </c>
      <c r="E53" s="873"/>
      <c r="F53" s="873">
        <f>+F44</f>
        <v>0</v>
      </c>
      <c r="G53" s="873">
        <f>+G44*1.015</f>
        <v>0</v>
      </c>
      <c r="H53" s="873">
        <f t="shared" ref="H53" si="47">F53*G53/1000*B53</f>
        <v>0</v>
      </c>
      <c r="I53" s="873">
        <f>+I44</f>
        <v>0</v>
      </c>
      <c r="J53" s="873">
        <f>+J44*1.015</f>
        <v>0</v>
      </c>
      <c r="K53" s="873">
        <f t="shared" ref="K53" si="48">+I53*J53/1000*B53</f>
        <v>0</v>
      </c>
      <c r="L53" s="873">
        <f>+L44</f>
        <v>0</v>
      </c>
      <c r="M53" s="873">
        <f>+M44*1.015</f>
        <v>0</v>
      </c>
      <c r="N53" s="873">
        <f t="shared" ref="N53" si="49">+L53*M53/1000*B53</f>
        <v>0</v>
      </c>
      <c r="O53" s="873">
        <f>+O44</f>
        <v>0</v>
      </c>
      <c r="P53" s="873">
        <f>+P44*1.015</f>
        <v>0</v>
      </c>
      <c r="Q53" s="873">
        <f t="shared" ref="Q53" si="50">+O53*P53/1000*B53</f>
        <v>0</v>
      </c>
      <c r="R53" s="873">
        <f>+R44</f>
        <v>0</v>
      </c>
      <c r="S53" s="873">
        <f>+S44*1.015</f>
        <v>0</v>
      </c>
      <c r="T53" s="873">
        <f t="shared" ref="T53" si="51">+R53*S53/1000*B53</f>
        <v>0</v>
      </c>
      <c r="U53" s="877"/>
      <c r="V53" s="877"/>
      <c r="W53" s="1279">
        <f t="shared" si="45"/>
        <v>0</v>
      </c>
      <c r="X53" s="1282" t="e">
        <f t="shared" si="46"/>
        <v>#DIV/0!</v>
      </c>
    </row>
    <row r="54" spans="1:24" ht="13.5" thickBot="1">
      <c r="A54" s="1270" t="s">
        <v>433</v>
      </c>
      <c r="B54" s="1276"/>
      <c r="C54" s="1276"/>
      <c r="D54" s="1276"/>
      <c r="E54" s="1276"/>
      <c r="F54" s="1272" t="s">
        <v>221</v>
      </c>
      <c r="G54" s="1273" t="s">
        <v>221</v>
      </c>
      <c r="H54" s="1273">
        <f>SUM(H50:H53)</f>
        <v>0</v>
      </c>
      <c r="I54" s="1273" t="s">
        <v>221</v>
      </c>
      <c r="J54" s="1273" t="s">
        <v>221</v>
      </c>
      <c r="K54" s="1273">
        <f>SUM(K50:K53)</f>
        <v>0</v>
      </c>
      <c r="L54" s="1273" t="s">
        <v>221</v>
      </c>
      <c r="M54" s="1273" t="s">
        <v>221</v>
      </c>
      <c r="N54" s="1273">
        <f>SUM(N50:N53)</f>
        <v>0</v>
      </c>
      <c r="O54" s="1273" t="s">
        <v>221</v>
      </c>
      <c r="P54" s="1273" t="s">
        <v>221</v>
      </c>
      <c r="Q54" s="1273">
        <f>SUM(Q50:Q53)</f>
        <v>0</v>
      </c>
      <c r="R54" s="1273" t="s">
        <v>221</v>
      </c>
      <c r="S54" s="1273" t="s">
        <v>221</v>
      </c>
      <c r="T54" s="1273">
        <f>SUM(T50:T53)</f>
        <v>0</v>
      </c>
      <c r="U54" s="1274"/>
      <c r="V54" s="1274"/>
      <c r="W54" s="1277" t="e">
        <f>SUM(W50:W53)</f>
        <v>#DIV/0!</v>
      </c>
      <c r="X54" s="1275" t="e">
        <f>SUM(X50:X53)</f>
        <v>#DIV/0!</v>
      </c>
    </row>
    <row r="55" spans="1:24" ht="13.5" thickTop="1"/>
    <row r="56" spans="1:24" ht="13.5" thickBot="1">
      <c r="A56" s="868">
        <f>+A47+1</f>
        <v>2025</v>
      </c>
    </row>
    <row r="57" spans="1:24" ht="25.5" customHeight="1" thickTop="1">
      <c r="A57" s="2324" t="s">
        <v>224</v>
      </c>
      <c r="B57" s="2326" t="s">
        <v>434</v>
      </c>
      <c r="C57" s="2314" t="s">
        <v>437</v>
      </c>
      <c r="D57" s="2316"/>
      <c r="E57" s="2320" t="s">
        <v>439</v>
      </c>
      <c r="F57" s="2314" t="s">
        <v>422</v>
      </c>
      <c r="G57" s="2315"/>
      <c r="H57" s="2316"/>
      <c r="I57" s="2314" t="s">
        <v>423</v>
      </c>
      <c r="J57" s="2315"/>
      <c r="K57" s="2316"/>
      <c r="L57" s="2314" t="s">
        <v>424</v>
      </c>
      <c r="M57" s="2315"/>
      <c r="N57" s="2316"/>
      <c r="O57" s="2314" t="s">
        <v>425</v>
      </c>
      <c r="P57" s="2315"/>
      <c r="Q57" s="2316"/>
      <c r="R57" s="2317" t="s">
        <v>426</v>
      </c>
      <c r="S57" s="2318"/>
      <c r="T57" s="2319"/>
      <c r="U57" s="2320" t="s">
        <v>442</v>
      </c>
      <c r="V57" s="2320" t="s">
        <v>444</v>
      </c>
      <c r="W57" s="2322" t="s">
        <v>427</v>
      </c>
      <c r="X57" s="2312" t="s">
        <v>443</v>
      </c>
    </row>
    <row r="58" spans="1:24" ht="38.25">
      <c r="A58" s="2325"/>
      <c r="B58" s="2327"/>
      <c r="C58" s="870" t="s">
        <v>438</v>
      </c>
      <c r="D58" s="870" t="s">
        <v>315</v>
      </c>
      <c r="E58" s="2321"/>
      <c r="F58" s="870" t="s">
        <v>435</v>
      </c>
      <c r="G58" s="870" t="s">
        <v>436</v>
      </c>
      <c r="H58" s="870" t="s">
        <v>429</v>
      </c>
      <c r="I58" s="870" t="s">
        <v>430</v>
      </c>
      <c r="J58" s="870" t="s">
        <v>436</v>
      </c>
      <c r="K58" s="870" t="s">
        <v>429</v>
      </c>
      <c r="L58" s="870" t="s">
        <v>430</v>
      </c>
      <c r="M58" s="870" t="s">
        <v>436</v>
      </c>
      <c r="N58" s="870" t="s">
        <v>429</v>
      </c>
      <c r="O58" s="870" t="s">
        <v>430</v>
      </c>
      <c r="P58" s="870" t="s">
        <v>436</v>
      </c>
      <c r="Q58" s="870" t="s">
        <v>429</v>
      </c>
      <c r="R58" s="870" t="s">
        <v>445</v>
      </c>
      <c r="S58" s="870" t="s">
        <v>431</v>
      </c>
      <c r="T58" s="870" t="s">
        <v>429</v>
      </c>
      <c r="U58" s="2321"/>
      <c r="V58" s="2321"/>
      <c r="W58" s="2323"/>
      <c r="X58" s="2313"/>
    </row>
    <row r="59" spans="1:24">
      <c r="A59" s="875" t="s">
        <v>210</v>
      </c>
      <c r="B59" s="871"/>
      <c r="C59" s="871"/>
      <c r="D59" s="871">
        <f>+B59*C59/10</f>
        <v>0</v>
      </c>
      <c r="E59" s="873" t="e">
        <f>+E50/D50*D59*1.012</f>
        <v>#DIV/0!</v>
      </c>
      <c r="F59" s="873">
        <f>+F50</f>
        <v>0</v>
      </c>
      <c r="G59" s="873">
        <f>+G50*1.015</f>
        <v>0</v>
      </c>
      <c r="H59" s="873">
        <f t="shared" ref="H59:H60" si="52">F59*G59/1000*B59</f>
        <v>0</v>
      </c>
      <c r="I59" s="873">
        <f>+I50</f>
        <v>0</v>
      </c>
      <c r="J59" s="873">
        <f>+J50*1.015</f>
        <v>0</v>
      </c>
      <c r="K59" s="873">
        <f t="shared" ref="K59:K60" si="53">+I59*J59/1000*B59</f>
        <v>0</v>
      </c>
      <c r="L59" s="873">
        <f>+L50</f>
        <v>0</v>
      </c>
      <c r="M59" s="873">
        <f>+M50*1.015</f>
        <v>0</v>
      </c>
      <c r="N59" s="873">
        <f t="shared" ref="N59:N60" si="54">+L59*M59/1000*B59</f>
        <v>0</v>
      </c>
      <c r="O59" s="873">
        <f>+O50</f>
        <v>0</v>
      </c>
      <c r="P59" s="873">
        <f>+P50*1.015</f>
        <v>0</v>
      </c>
      <c r="Q59" s="873">
        <f t="shared" ref="Q59:Q60" si="55">+O59*P59/1000*B59</f>
        <v>0</v>
      </c>
      <c r="R59" s="873">
        <f>+R50</f>
        <v>0</v>
      </c>
      <c r="S59" s="873">
        <f>+S50*1.015</f>
        <v>0</v>
      </c>
      <c r="T59" s="873">
        <f t="shared" ref="T59:T60" si="56">+R59*S59/1000*B59</f>
        <v>0</v>
      </c>
      <c r="U59" s="877" t="e">
        <f>+U50/B50*B59*1.015</f>
        <v>#DIV/0!</v>
      </c>
      <c r="V59" s="877" t="e">
        <f>+V50/B50*B59*1.015</f>
        <v>#DIV/0!</v>
      </c>
      <c r="W59" s="1279" t="e">
        <f>E59+H59+K59+N59+Q59+T59+U59+V59</f>
        <v>#DIV/0!</v>
      </c>
      <c r="X59" s="1282" t="e">
        <f>+W59/D59</f>
        <v>#DIV/0!</v>
      </c>
    </row>
    <row r="60" spans="1:24">
      <c r="A60" s="876" t="s">
        <v>338</v>
      </c>
      <c r="B60" s="871"/>
      <c r="C60" s="871"/>
      <c r="D60" s="871">
        <f t="shared" ref="D60:D62" si="57">+B60*C60/10</f>
        <v>0</v>
      </c>
      <c r="E60" s="873"/>
      <c r="F60" s="873">
        <f>+F51</f>
        <v>0</v>
      </c>
      <c r="G60" s="873">
        <f>+G51*1.015</f>
        <v>0</v>
      </c>
      <c r="H60" s="873">
        <f t="shared" si="52"/>
        <v>0</v>
      </c>
      <c r="I60" s="873">
        <f>+I51</f>
        <v>0</v>
      </c>
      <c r="J60" s="873">
        <f>+J51*1.015</f>
        <v>0</v>
      </c>
      <c r="K60" s="873">
        <f t="shared" si="53"/>
        <v>0</v>
      </c>
      <c r="L60" s="873">
        <f>+L51</f>
        <v>0</v>
      </c>
      <c r="M60" s="873">
        <f>+M51*1.015</f>
        <v>0</v>
      </c>
      <c r="N60" s="873">
        <f t="shared" si="54"/>
        <v>0</v>
      </c>
      <c r="O60" s="873">
        <f>+O51</f>
        <v>0</v>
      </c>
      <c r="P60" s="873">
        <f>+P51*1.015</f>
        <v>0</v>
      </c>
      <c r="Q60" s="873">
        <f t="shared" si="55"/>
        <v>0</v>
      </c>
      <c r="R60" s="873">
        <f>+R51</f>
        <v>0</v>
      </c>
      <c r="S60" s="873">
        <f>+S51*1.015</f>
        <v>0</v>
      </c>
      <c r="T60" s="873">
        <f t="shared" si="56"/>
        <v>0</v>
      </c>
      <c r="U60" s="877"/>
      <c r="V60" s="877"/>
      <c r="W60" s="1279">
        <f t="shared" ref="W60:W62" si="58">E60+H60+K60+N60+Q60+T60+U60+V60</f>
        <v>0</v>
      </c>
      <c r="X60" s="1282" t="e">
        <f t="shared" ref="X60:X62" si="59">+W60/D60</f>
        <v>#DIV/0!</v>
      </c>
    </row>
    <row r="61" spans="1:24">
      <c r="A61" s="876" t="s">
        <v>337</v>
      </c>
      <c r="B61" s="871"/>
      <c r="C61" s="871"/>
      <c r="D61" s="871">
        <f t="shared" si="57"/>
        <v>0</v>
      </c>
      <c r="E61" s="873"/>
      <c r="F61" s="873">
        <f>+F52</f>
        <v>0</v>
      </c>
      <c r="G61" s="873">
        <f>+G52*1.015</f>
        <v>0</v>
      </c>
      <c r="H61" s="873">
        <f>F61*G61/1000*B61</f>
        <v>0</v>
      </c>
      <c r="I61" s="873">
        <f>+I52</f>
        <v>0</v>
      </c>
      <c r="J61" s="873">
        <f>+J52*1.015</f>
        <v>0</v>
      </c>
      <c r="K61" s="873">
        <f>+I61*J61/1000*B61</f>
        <v>0</v>
      </c>
      <c r="L61" s="873">
        <f>+L52</f>
        <v>0</v>
      </c>
      <c r="M61" s="873">
        <f>+M52*1.015</f>
        <v>0</v>
      </c>
      <c r="N61" s="873">
        <f>+L61*M61/1000*B61</f>
        <v>0</v>
      </c>
      <c r="O61" s="873">
        <f>+O52</f>
        <v>0</v>
      </c>
      <c r="P61" s="873">
        <f>+P52*1.015</f>
        <v>0</v>
      </c>
      <c r="Q61" s="873">
        <f>+O61*P61/1000*B61</f>
        <v>0</v>
      </c>
      <c r="R61" s="873">
        <f>+R52</f>
        <v>0</v>
      </c>
      <c r="S61" s="873">
        <f>+S52*1.015</f>
        <v>0</v>
      </c>
      <c r="T61" s="873">
        <f>+R61*S61/1000*B61</f>
        <v>0</v>
      </c>
      <c r="U61" s="877"/>
      <c r="V61" s="877"/>
      <c r="W61" s="1279">
        <f t="shared" si="58"/>
        <v>0</v>
      </c>
      <c r="X61" s="1282" t="e">
        <f t="shared" si="59"/>
        <v>#DIV/0!</v>
      </c>
    </row>
    <row r="62" spans="1:24">
      <c r="A62" s="876" t="s">
        <v>432</v>
      </c>
      <c r="B62" s="871"/>
      <c r="C62" s="871"/>
      <c r="D62" s="871">
        <f t="shared" si="57"/>
        <v>0</v>
      </c>
      <c r="E62" s="873"/>
      <c r="F62" s="873">
        <f>+F53</f>
        <v>0</v>
      </c>
      <c r="G62" s="873">
        <f>+G53*1.015</f>
        <v>0</v>
      </c>
      <c r="H62" s="873">
        <f t="shared" ref="H62" si="60">F62*G62/1000*B62</f>
        <v>0</v>
      </c>
      <c r="I62" s="873">
        <f>+I53</f>
        <v>0</v>
      </c>
      <c r="J62" s="873">
        <f>+J53*1.015</f>
        <v>0</v>
      </c>
      <c r="K62" s="873">
        <f t="shared" ref="K62" si="61">+I62*J62/1000*B62</f>
        <v>0</v>
      </c>
      <c r="L62" s="873">
        <f>+L53</f>
        <v>0</v>
      </c>
      <c r="M62" s="873">
        <f>+M53*1.015</f>
        <v>0</v>
      </c>
      <c r="N62" s="873">
        <f t="shared" ref="N62" si="62">+L62*M62/1000*B62</f>
        <v>0</v>
      </c>
      <c r="O62" s="873">
        <f>+O53</f>
        <v>0</v>
      </c>
      <c r="P62" s="873">
        <f>+P53*1.015</f>
        <v>0</v>
      </c>
      <c r="Q62" s="873">
        <f t="shared" ref="Q62" si="63">+O62*P62/1000*B62</f>
        <v>0</v>
      </c>
      <c r="R62" s="873">
        <f>+R53</f>
        <v>0</v>
      </c>
      <c r="S62" s="873">
        <f>+S53*1.015</f>
        <v>0</v>
      </c>
      <c r="T62" s="873">
        <f t="shared" ref="T62" si="64">+R62*S62/1000*B62</f>
        <v>0</v>
      </c>
      <c r="U62" s="877"/>
      <c r="V62" s="877"/>
      <c r="W62" s="1279">
        <f t="shared" si="58"/>
        <v>0</v>
      </c>
      <c r="X62" s="1282" t="e">
        <f t="shared" si="59"/>
        <v>#DIV/0!</v>
      </c>
    </row>
    <row r="63" spans="1:24" ht="13.5" thickBot="1">
      <c r="A63" s="1270" t="s">
        <v>433</v>
      </c>
      <c r="B63" s="1276"/>
      <c r="C63" s="1276"/>
      <c r="D63" s="1276"/>
      <c r="E63" s="1276"/>
      <c r="F63" s="1272" t="s">
        <v>221</v>
      </c>
      <c r="G63" s="1273" t="s">
        <v>221</v>
      </c>
      <c r="H63" s="1273">
        <f>SUM(H59:H62)</f>
        <v>0</v>
      </c>
      <c r="I63" s="1273" t="s">
        <v>221</v>
      </c>
      <c r="J63" s="1273" t="s">
        <v>221</v>
      </c>
      <c r="K63" s="1273">
        <f>SUM(K59:K62)</f>
        <v>0</v>
      </c>
      <c r="L63" s="1273" t="s">
        <v>221</v>
      </c>
      <c r="M63" s="1273" t="s">
        <v>221</v>
      </c>
      <c r="N63" s="1273">
        <f>SUM(N59:N62)</f>
        <v>0</v>
      </c>
      <c r="O63" s="1273" t="s">
        <v>221</v>
      </c>
      <c r="P63" s="1273" t="s">
        <v>221</v>
      </c>
      <c r="Q63" s="1273">
        <f>SUM(Q59:Q62)</f>
        <v>0</v>
      </c>
      <c r="R63" s="1273" t="s">
        <v>221</v>
      </c>
      <c r="S63" s="1273" t="s">
        <v>221</v>
      </c>
      <c r="T63" s="1273">
        <f>SUM(T59:T62)</f>
        <v>0</v>
      </c>
      <c r="U63" s="1274"/>
      <c r="V63" s="1274"/>
      <c r="W63" s="1277" t="e">
        <f>SUM(W59:W62)</f>
        <v>#DIV/0!</v>
      </c>
      <c r="X63" s="1275" t="e">
        <f>SUM(X59:X62)</f>
        <v>#DIV/0!</v>
      </c>
    </row>
    <row r="64" spans="1:24" ht="13.5" thickTop="1"/>
    <row r="65" spans="1:24" ht="13.5" thickBot="1">
      <c r="A65" s="868">
        <f>+A56+1</f>
        <v>2026</v>
      </c>
    </row>
    <row r="66" spans="1:24" ht="25.5" customHeight="1" thickTop="1">
      <c r="A66" s="2324" t="s">
        <v>224</v>
      </c>
      <c r="B66" s="2326" t="s">
        <v>434</v>
      </c>
      <c r="C66" s="2314" t="s">
        <v>437</v>
      </c>
      <c r="D66" s="2316"/>
      <c r="E66" s="2320" t="s">
        <v>439</v>
      </c>
      <c r="F66" s="2314" t="s">
        <v>422</v>
      </c>
      <c r="G66" s="2315"/>
      <c r="H66" s="2316"/>
      <c r="I66" s="2314" t="s">
        <v>423</v>
      </c>
      <c r="J66" s="2315"/>
      <c r="K66" s="2316"/>
      <c r="L66" s="2314" t="s">
        <v>424</v>
      </c>
      <c r="M66" s="2315"/>
      <c r="N66" s="2316"/>
      <c r="O66" s="2314" t="s">
        <v>425</v>
      </c>
      <c r="P66" s="2315"/>
      <c r="Q66" s="2316"/>
      <c r="R66" s="2317" t="s">
        <v>426</v>
      </c>
      <c r="S66" s="2318"/>
      <c r="T66" s="2319"/>
      <c r="U66" s="2320" t="s">
        <v>442</v>
      </c>
      <c r="V66" s="2320" t="s">
        <v>444</v>
      </c>
      <c r="W66" s="2322" t="s">
        <v>427</v>
      </c>
      <c r="X66" s="2312" t="s">
        <v>443</v>
      </c>
    </row>
    <row r="67" spans="1:24" ht="38.25">
      <c r="A67" s="2325"/>
      <c r="B67" s="2327"/>
      <c r="C67" s="870" t="s">
        <v>438</v>
      </c>
      <c r="D67" s="870" t="s">
        <v>315</v>
      </c>
      <c r="E67" s="2321"/>
      <c r="F67" s="870" t="s">
        <v>435</v>
      </c>
      <c r="G67" s="870" t="s">
        <v>436</v>
      </c>
      <c r="H67" s="870" t="s">
        <v>429</v>
      </c>
      <c r="I67" s="870" t="s">
        <v>430</v>
      </c>
      <c r="J67" s="870" t="s">
        <v>436</v>
      </c>
      <c r="K67" s="870" t="s">
        <v>429</v>
      </c>
      <c r="L67" s="870" t="s">
        <v>430</v>
      </c>
      <c r="M67" s="870" t="s">
        <v>436</v>
      </c>
      <c r="N67" s="870" t="s">
        <v>429</v>
      </c>
      <c r="O67" s="870" t="s">
        <v>430</v>
      </c>
      <c r="P67" s="870" t="s">
        <v>436</v>
      </c>
      <c r="Q67" s="870" t="s">
        <v>429</v>
      </c>
      <c r="R67" s="870" t="s">
        <v>445</v>
      </c>
      <c r="S67" s="870" t="s">
        <v>431</v>
      </c>
      <c r="T67" s="870" t="s">
        <v>429</v>
      </c>
      <c r="U67" s="2321"/>
      <c r="V67" s="2321"/>
      <c r="W67" s="2323"/>
      <c r="X67" s="2313"/>
    </row>
    <row r="68" spans="1:24">
      <c r="A68" s="875" t="s">
        <v>210</v>
      </c>
      <c r="B68" s="871"/>
      <c r="C68" s="871"/>
      <c r="D68" s="871">
        <f>+B68*C68/10</f>
        <v>0</v>
      </c>
      <c r="E68" s="873" t="e">
        <f>+E59/D59*D68*1.012</f>
        <v>#DIV/0!</v>
      </c>
      <c r="F68" s="873">
        <f>+F59</f>
        <v>0</v>
      </c>
      <c r="G68" s="873">
        <f>+G59*1.015</f>
        <v>0</v>
      </c>
      <c r="H68" s="873">
        <f t="shared" ref="H68" si="65">F68*G68/1000*B68</f>
        <v>0</v>
      </c>
      <c r="I68" s="873">
        <f>+I59</f>
        <v>0</v>
      </c>
      <c r="J68" s="873">
        <f>+J59*1.015</f>
        <v>0</v>
      </c>
      <c r="K68" s="873">
        <f t="shared" ref="K68:K69" si="66">+I68*J68/1000*B68</f>
        <v>0</v>
      </c>
      <c r="L68" s="873">
        <f>+L59</f>
        <v>0</v>
      </c>
      <c r="M68" s="873">
        <f>+M59*1.015</f>
        <v>0</v>
      </c>
      <c r="N68" s="873">
        <f t="shared" ref="N68:N69" si="67">+L68*M68/1000*B68</f>
        <v>0</v>
      </c>
      <c r="O68" s="873">
        <f>+O59</f>
        <v>0</v>
      </c>
      <c r="P68" s="873">
        <f>+P59*1.015</f>
        <v>0</v>
      </c>
      <c r="Q68" s="873">
        <f t="shared" ref="Q68:Q69" si="68">+O68*P68/1000*B68</f>
        <v>0</v>
      </c>
      <c r="R68" s="873">
        <f>+R59</f>
        <v>0</v>
      </c>
      <c r="S68" s="873">
        <f>+S59*1.015</f>
        <v>0</v>
      </c>
      <c r="T68" s="873">
        <f t="shared" ref="T68:T69" si="69">+R68*S68/1000*B68</f>
        <v>0</v>
      </c>
      <c r="U68" s="877" t="e">
        <f>+U59/B59*B68*1.015</f>
        <v>#DIV/0!</v>
      </c>
      <c r="V68" s="877" t="e">
        <f>+V59/B59*B68*1.015</f>
        <v>#DIV/0!</v>
      </c>
      <c r="W68" s="1279" t="e">
        <f>E68+H68+K68+N68+Q68+T68+U68+V68</f>
        <v>#DIV/0!</v>
      </c>
      <c r="X68" s="1282" t="e">
        <f>+W68/D68</f>
        <v>#DIV/0!</v>
      </c>
    </row>
    <row r="69" spans="1:24">
      <c r="A69" s="876" t="s">
        <v>338</v>
      </c>
      <c r="B69" s="871"/>
      <c r="C69" s="871"/>
      <c r="D69" s="871">
        <f t="shared" ref="D69:D71" si="70">+B69*C69/10</f>
        <v>0</v>
      </c>
      <c r="E69" s="873"/>
      <c r="F69" s="873">
        <f>+F60</f>
        <v>0</v>
      </c>
      <c r="G69" s="873">
        <f>+G60*1.015</f>
        <v>0</v>
      </c>
      <c r="H69" s="873">
        <f>F69*G69/1000*B69</f>
        <v>0</v>
      </c>
      <c r="I69" s="873">
        <f>+I60</f>
        <v>0</v>
      </c>
      <c r="J69" s="873">
        <f>+J60*1.015</f>
        <v>0</v>
      </c>
      <c r="K69" s="873">
        <f t="shared" si="66"/>
        <v>0</v>
      </c>
      <c r="L69" s="873">
        <f>+L60</f>
        <v>0</v>
      </c>
      <c r="M69" s="873">
        <f>+M60*1.015</f>
        <v>0</v>
      </c>
      <c r="N69" s="873">
        <f t="shared" si="67"/>
        <v>0</v>
      </c>
      <c r="O69" s="873">
        <f>+O60</f>
        <v>0</v>
      </c>
      <c r="P69" s="873">
        <f>+P60*1.015</f>
        <v>0</v>
      </c>
      <c r="Q69" s="873">
        <f t="shared" si="68"/>
        <v>0</v>
      </c>
      <c r="R69" s="873">
        <f>+R60</f>
        <v>0</v>
      </c>
      <c r="S69" s="873">
        <f>+S60*1.015</f>
        <v>0</v>
      </c>
      <c r="T69" s="873">
        <f t="shared" si="69"/>
        <v>0</v>
      </c>
      <c r="U69" s="877"/>
      <c r="V69" s="877"/>
      <c r="W69" s="1279">
        <f t="shared" ref="W69:W71" si="71">E69+H69+K69+N69+Q69+T69+U69+V69</f>
        <v>0</v>
      </c>
      <c r="X69" s="1282" t="e">
        <f t="shared" ref="X69:X71" si="72">+W69/D69</f>
        <v>#DIV/0!</v>
      </c>
    </row>
    <row r="70" spans="1:24">
      <c r="A70" s="876" t="s">
        <v>337</v>
      </c>
      <c r="B70" s="871"/>
      <c r="C70" s="871"/>
      <c r="D70" s="871">
        <f t="shared" si="70"/>
        <v>0</v>
      </c>
      <c r="E70" s="873"/>
      <c r="F70" s="873">
        <f>+F61</f>
        <v>0</v>
      </c>
      <c r="G70" s="873">
        <f>+G61*1.015</f>
        <v>0</v>
      </c>
      <c r="H70" s="873">
        <f>F70*G70/1000*B70</f>
        <v>0</v>
      </c>
      <c r="I70" s="873">
        <f>+I61</f>
        <v>0</v>
      </c>
      <c r="J70" s="873">
        <f>+J61*1.015</f>
        <v>0</v>
      </c>
      <c r="K70" s="873">
        <f>+I70*J70/1000*B70</f>
        <v>0</v>
      </c>
      <c r="L70" s="873">
        <f>+L61</f>
        <v>0</v>
      </c>
      <c r="M70" s="873">
        <f>+M61*1.015</f>
        <v>0</v>
      </c>
      <c r="N70" s="873">
        <f>+L70*M70/1000*B70</f>
        <v>0</v>
      </c>
      <c r="O70" s="873">
        <f>+O61</f>
        <v>0</v>
      </c>
      <c r="P70" s="873">
        <f>+P61*1.015</f>
        <v>0</v>
      </c>
      <c r="Q70" s="873">
        <f>+O70*P70/1000*B70</f>
        <v>0</v>
      </c>
      <c r="R70" s="873">
        <f>+R61</f>
        <v>0</v>
      </c>
      <c r="S70" s="873">
        <f>+S61*1.015</f>
        <v>0</v>
      </c>
      <c r="T70" s="873">
        <f>+R70*S70/1000*B70</f>
        <v>0</v>
      </c>
      <c r="U70" s="877"/>
      <c r="V70" s="877"/>
      <c r="W70" s="1279">
        <f t="shared" si="71"/>
        <v>0</v>
      </c>
      <c r="X70" s="1282" t="e">
        <f t="shared" si="72"/>
        <v>#DIV/0!</v>
      </c>
    </row>
    <row r="71" spans="1:24">
      <c r="A71" s="876" t="s">
        <v>432</v>
      </c>
      <c r="B71" s="871"/>
      <c r="C71" s="871"/>
      <c r="D71" s="871">
        <f t="shared" si="70"/>
        <v>0</v>
      </c>
      <c r="E71" s="873"/>
      <c r="F71" s="873">
        <f>+F62</f>
        <v>0</v>
      </c>
      <c r="G71" s="873">
        <f>+G62*1.015</f>
        <v>0</v>
      </c>
      <c r="H71" s="873">
        <f t="shared" ref="H71" si="73">F71*G71/1000*B71</f>
        <v>0</v>
      </c>
      <c r="I71" s="873">
        <f>+I62</f>
        <v>0</v>
      </c>
      <c r="J71" s="873">
        <f>+J62*1.015</f>
        <v>0</v>
      </c>
      <c r="K71" s="873">
        <f t="shared" ref="K71" si="74">+I71*J71/1000*B71</f>
        <v>0</v>
      </c>
      <c r="L71" s="873">
        <f>+L62</f>
        <v>0</v>
      </c>
      <c r="M71" s="873">
        <f>+M62*1.015</f>
        <v>0</v>
      </c>
      <c r="N71" s="873">
        <f t="shared" ref="N71" si="75">+L71*M71/1000*B71</f>
        <v>0</v>
      </c>
      <c r="O71" s="873">
        <f>+O62</f>
        <v>0</v>
      </c>
      <c r="P71" s="873">
        <f>+P62*1.015</f>
        <v>0</v>
      </c>
      <c r="Q71" s="873">
        <f t="shared" ref="Q71" si="76">+O71*P71/1000*B71</f>
        <v>0</v>
      </c>
      <c r="R71" s="873">
        <f>+R62</f>
        <v>0</v>
      </c>
      <c r="S71" s="873">
        <f>+S62*1.015</f>
        <v>0</v>
      </c>
      <c r="T71" s="873">
        <f t="shared" ref="T71" si="77">+R71*S71/1000*B71</f>
        <v>0</v>
      </c>
      <c r="U71" s="877"/>
      <c r="V71" s="877"/>
      <c r="W71" s="1279">
        <f t="shared" si="71"/>
        <v>0</v>
      </c>
      <c r="X71" s="1282" t="e">
        <f t="shared" si="72"/>
        <v>#DIV/0!</v>
      </c>
    </row>
    <row r="72" spans="1:24" ht="13.5" thickBot="1">
      <c r="A72" s="1270" t="s">
        <v>433</v>
      </c>
      <c r="B72" s="1276"/>
      <c r="C72" s="1276"/>
      <c r="D72" s="1276"/>
      <c r="E72" s="1276"/>
      <c r="F72" s="1272" t="s">
        <v>221</v>
      </c>
      <c r="G72" s="1273" t="s">
        <v>221</v>
      </c>
      <c r="H72" s="1273">
        <f>SUM(H68:H71)</f>
        <v>0</v>
      </c>
      <c r="I72" s="1273" t="s">
        <v>221</v>
      </c>
      <c r="J72" s="1273" t="s">
        <v>221</v>
      </c>
      <c r="K72" s="1273">
        <f>SUM(K68:K71)</f>
        <v>0</v>
      </c>
      <c r="L72" s="1273" t="s">
        <v>221</v>
      </c>
      <c r="M72" s="1273" t="s">
        <v>221</v>
      </c>
      <c r="N72" s="1273">
        <f>SUM(N68:N71)</f>
        <v>0</v>
      </c>
      <c r="O72" s="1273" t="s">
        <v>221</v>
      </c>
      <c r="P72" s="1273" t="s">
        <v>221</v>
      </c>
      <c r="Q72" s="1273">
        <f>SUM(Q68:Q71)</f>
        <v>0</v>
      </c>
      <c r="R72" s="1273" t="s">
        <v>221</v>
      </c>
      <c r="S72" s="1273" t="s">
        <v>221</v>
      </c>
      <c r="T72" s="1273">
        <f>SUM(T68:T71)</f>
        <v>0</v>
      </c>
      <c r="U72" s="1274"/>
      <c r="V72" s="1274"/>
      <c r="W72" s="1277" t="e">
        <f>SUM(W68:W71)</f>
        <v>#DIV/0!</v>
      </c>
      <c r="X72" s="1275" t="e">
        <f>SUM(X68:X71)</f>
        <v>#DIV/0!</v>
      </c>
    </row>
    <row r="73" spans="1:24" ht="13.5" thickTop="1"/>
    <row r="76" spans="1:24" ht="20.25">
      <c r="F76" s="1982" t="s">
        <v>77</v>
      </c>
      <c r="G76" s="1982"/>
      <c r="H76" s="1982"/>
      <c r="I76" s="1982"/>
      <c r="J76" s="1982"/>
    </row>
  </sheetData>
  <mergeCells count="106">
    <mergeCell ref="A1:W1"/>
    <mergeCell ref="A3:A4"/>
    <mergeCell ref="B3:B4"/>
    <mergeCell ref="F3:H3"/>
    <mergeCell ref="I3:K3"/>
    <mergeCell ref="L3:N3"/>
    <mergeCell ref="O3:Q3"/>
    <mergeCell ref="R3:T3"/>
    <mergeCell ref="W3:W4"/>
    <mergeCell ref="C3:D3"/>
    <mergeCell ref="E3:E4"/>
    <mergeCell ref="U3:U4"/>
    <mergeCell ref="R21:T21"/>
    <mergeCell ref="W21:W22"/>
    <mergeCell ref="A12:A13"/>
    <mergeCell ref="B12:B13"/>
    <mergeCell ref="F12:H12"/>
    <mergeCell ref="I12:K12"/>
    <mergeCell ref="L12:N12"/>
    <mergeCell ref="O12:Q12"/>
    <mergeCell ref="C12:D12"/>
    <mergeCell ref="E12:E13"/>
    <mergeCell ref="R30:T30"/>
    <mergeCell ref="W30:W31"/>
    <mergeCell ref="R12:T12"/>
    <mergeCell ref="W12:W13"/>
    <mergeCell ref="A39:A40"/>
    <mergeCell ref="B39:B40"/>
    <mergeCell ref="F39:H39"/>
    <mergeCell ref="I39:K39"/>
    <mergeCell ref="L39:N39"/>
    <mergeCell ref="O39:Q39"/>
    <mergeCell ref="R39:T39"/>
    <mergeCell ref="W39:W40"/>
    <mergeCell ref="A30:A31"/>
    <mergeCell ref="B30:B31"/>
    <mergeCell ref="F30:H30"/>
    <mergeCell ref="I30:K30"/>
    <mergeCell ref="L30:N30"/>
    <mergeCell ref="O30:Q30"/>
    <mergeCell ref="A21:A22"/>
    <mergeCell ref="B21:B22"/>
    <mergeCell ref="F21:H21"/>
    <mergeCell ref="I21:K21"/>
    <mergeCell ref="L21:N21"/>
    <mergeCell ref="O21:Q21"/>
    <mergeCell ref="X39:X40"/>
    <mergeCell ref="V3:V4"/>
    <mergeCell ref="U12:U13"/>
    <mergeCell ref="V12:V13"/>
    <mergeCell ref="U21:U22"/>
    <mergeCell ref="V21:V22"/>
    <mergeCell ref="U30:U31"/>
    <mergeCell ref="V30:V31"/>
    <mergeCell ref="U39:U40"/>
    <mergeCell ref="V39:V40"/>
    <mergeCell ref="X3:X4"/>
    <mergeCell ref="X12:X13"/>
    <mergeCell ref="X21:X22"/>
    <mergeCell ref="X30:X31"/>
    <mergeCell ref="C48:D48"/>
    <mergeCell ref="E48:E49"/>
    <mergeCell ref="F48:H48"/>
    <mergeCell ref="I48:K48"/>
    <mergeCell ref="C21:D21"/>
    <mergeCell ref="E21:E22"/>
    <mergeCell ref="C30:D30"/>
    <mergeCell ref="E30:E31"/>
    <mergeCell ref="C39:D39"/>
    <mergeCell ref="E39:E40"/>
    <mergeCell ref="A66:A67"/>
    <mergeCell ref="B66:B67"/>
    <mergeCell ref="C66:D66"/>
    <mergeCell ref="E66:E67"/>
    <mergeCell ref="F66:H66"/>
    <mergeCell ref="I66:K66"/>
    <mergeCell ref="X48:X49"/>
    <mergeCell ref="A57:A58"/>
    <mergeCell ref="B57:B58"/>
    <mergeCell ref="C57:D57"/>
    <mergeCell ref="E57:E58"/>
    <mergeCell ref="F57:H57"/>
    <mergeCell ref="I57:K57"/>
    <mergeCell ref="L57:N57"/>
    <mergeCell ref="O57:Q57"/>
    <mergeCell ref="R57:T57"/>
    <mergeCell ref="L48:N48"/>
    <mergeCell ref="O48:Q48"/>
    <mergeCell ref="R48:T48"/>
    <mergeCell ref="U48:U49"/>
    <mergeCell ref="V48:V49"/>
    <mergeCell ref="W48:W49"/>
    <mergeCell ref="A48:A49"/>
    <mergeCell ref="B48:B49"/>
    <mergeCell ref="X66:X67"/>
    <mergeCell ref="F76:J76"/>
    <mergeCell ref="L66:N66"/>
    <mergeCell ref="O66:Q66"/>
    <mergeCell ref="R66:T66"/>
    <mergeCell ref="U66:U67"/>
    <mergeCell ref="V66:V67"/>
    <mergeCell ref="W66:W67"/>
    <mergeCell ref="U57:U58"/>
    <mergeCell ref="V57:V58"/>
    <mergeCell ref="W57:W58"/>
    <mergeCell ref="X57:X58"/>
  </mergeCells>
  <hyperlinks>
    <hyperlink ref="F76:G76" location="начало!A1" display="Переход на начальную страницу"/>
  </hyperlinks>
  <pageMargins left="3.937007874015748E-2" right="3.937007874015748E-2" top="0.74803149606299213" bottom="0.74803149606299213" header="0.31496062992125984" footer="0.31496062992125984"/>
  <pageSetup paperSize="9" scale="60" orientation="landscape" r:id="rId1"/>
  <rowBreaks count="1" manualBreakCount="1">
    <brk id="45" max="2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97"/>
  <sheetViews>
    <sheetView view="pageBreakPreview" zoomScale="80" zoomScaleNormal="100" zoomScaleSheetLayoutView="80" workbookViewId="0">
      <selection activeCell="K33" sqref="K33"/>
    </sheetView>
  </sheetViews>
  <sheetFormatPr defaultRowHeight="15.75"/>
  <cols>
    <col min="1" max="1" width="9.42578125" style="925" customWidth="1"/>
    <col min="2" max="2" width="9.140625" style="925" hidden="1" customWidth="1"/>
    <col min="3" max="3" width="19" style="925" customWidth="1"/>
    <col min="4" max="4" width="12.85546875" style="925" customWidth="1"/>
    <col min="5" max="6" width="15.7109375" style="925" customWidth="1"/>
    <col min="7" max="7" width="18.85546875" style="928" customWidth="1"/>
    <col min="8" max="256" width="9.140625" style="929"/>
    <col min="257" max="257" width="7.5703125" style="929" customWidth="1"/>
    <col min="258" max="258" width="0" style="929" hidden="1" customWidth="1"/>
    <col min="259" max="259" width="13.85546875" style="929" customWidth="1"/>
    <col min="260" max="260" width="12.85546875" style="929" customWidth="1"/>
    <col min="261" max="261" width="12.28515625" style="929" bestFit="1" customWidth="1"/>
    <col min="262" max="262" width="12.42578125" style="929" customWidth="1"/>
    <col min="263" max="263" width="11.7109375" style="929" bestFit="1" customWidth="1"/>
    <col min="264" max="512" width="9.140625" style="929"/>
    <col min="513" max="513" width="7.5703125" style="929" customWidth="1"/>
    <col min="514" max="514" width="0" style="929" hidden="1" customWidth="1"/>
    <col min="515" max="515" width="13.85546875" style="929" customWidth="1"/>
    <col min="516" max="516" width="12.85546875" style="929" customWidth="1"/>
    <col min="517" max="517" width="12.28515625" style="929" bestFit="1" customWidth="1"/>
    <col min="518" max="518" width="12.42578125" style="929" customWidth="1"/>
    <col min="519" max="519" width="11.7109375" style="929" bestFit="1" customWidth="1"/>
    <col min="520" max="768" width="9.140625" style="929"/>
    <col min="769" max="769" width="7.5703125" style="929" customWidth="1"/>
    <col min="770" max="770" width="0" style="929" hidden="1" customWidth="1"/>
    <col min="771" max="771" width="13.85546875" style="929" customWidth="1"/>
    <col min="772" max="772" width="12.85546875" style="929" customWidth="1"/>
    <col min="773" max="773" width="12.28515625" style="929" bestFit="1" customWidth="1"/>
    <col min="774" max="774" width="12.42578125" style="929" customWidth="1"/>
    <col min="775" max="775" width="11.7109375" style="929" bestFit="1" customWidth="1"/>
    <col min="776" max="1024" width="9.140625" style="929"/>
    <col min="1025" max="1025" width="7.5703125" style="929" customWidth="1"/>
    <col min="1026" max="1026" width="0" style="929" hidden="1" customWidth="1"/>
    <col min="1027" max="1027" width="13.85546875" style="929" customWidth="1"/>
    <col min="1028" max="1028" width="12.85546875" style="929" customWidth="1"/>
    <col min="1029" max="1029" width="12.28515625" style="929" bestFit="1" customWidth="1"/>
    <col min="1030" max="1030" width="12.42578125" style="929" customWidth="1"/>
    <col min="1031" max="1031" width="11.7109375" style="929" bestFit="1" customWidth="1"/>
    <col min="1032" max="1280" width="9.140625" style="929"/>
    <col min="1281" max="1281" width="7.5703125" style="929" customWidth="1"/>
    <col min="1282" max="1282" width="0" style="929" hidden="1" customWidth="1"/>
    <col min="1283" max="1283" width="13.85546875" style="929" customWidth="1"/>
    <col min="1284" max="1284" width="12.85546875" style="929" customWidth="1"/>
    <col min="1285" max="1285" width="12.28515625" style="929" bestFit="1" customWidth="1"/>
    <col min="1286" max="1286" width="12.42578125" style="929" customWidth="1"/>
    <col min="1287" max="1287" width="11.7109375" style="929" bestFit="1" customWidth="1"/>
    <col min="1288" max="1536" width="9.140625" style="929"/>
    <col min="1537" max="1537" width="7.5703125" style="929" customWidth="1"/>
    <col min="1538" max="1538" width="0" style="929" hidden="1" customWidth="1"/>
    <col min="1539" max="1539" width="13.85546875" style="929" customWidth="1"/>
    <col min="1540" max="1540" width="12.85546875" style="929" customWidth="1"/>
    <col min="1541" max="1541" width="12.28515625" style="929" bestFit="1" customWidth="1"/>
    <col min="1542" max="1542" width="12.42578125" style="929" customWidth="1"/>
    <col min="1543" max="1543" width="11.7109375" style="929" bestFit="1" customWidth="1"/>
    <col min="1544" max="1792" width="9.140625" style="929"/>
    <col min="1793" max="1793" width="7.5703125" style="929" customWidth="1"/>
    <col min="1794" max="1794" width="0" style="929" hidden="1" customWidth="1"/>
    <col min="1795" max="1795" width="13.85546875" style="929" customWidth="1"/>
    <col min="1796" max="1796" width="12.85546875" style="929" customWidth="1"/>
    <col min="1797" max="1797" width="12.28515625" style="929" bestFit="1" customWidth="1"/>
    <col min="1798" max="1798" width="12.42578125" style="929" customWidth="1"/>
    <col min="1799" max="1799" width="11.7109375" style="929" bestFit="1" customWidth="1"/>
    <col min="1800" max="2048" width="9.140625" style="929"/>
    <col min="2049" max="2049" width="7.5703125" style="929" customWidth="1"/>
    <col min="2050" max="2050" width="0" style="929" hidden="1" customWidth="1"/>
    <col min="2051" max="2051" width="13.85546875" style="929" customWidth="1"/>
    <col min="2052" max="2052" width="12.85546875" style="929" customWidth="1"/>
    <col min="2053" max="2053" width="12.28515625" style="929" bestFit="1" customWidth="1"/>
    <col min="2054" max="2054" width="12.42578125" style="929" customWidth="1"/>
    <col min="2055" max="2055" width="11.7109375" style="929" bestFit="1" customWidth="1"/>
    <col min="2056" max="2304" width="9.140625" style="929"/>
    <col min="2305" max="2305" width="7.5703125" style="929" customWidth="1"/>
    <col min="2306" max="2306" width="0" style="929" hidden="1" customWidth="1"/>
    <col min="2307" max="2307" width="13.85546875" style="929" customWidth="1"/>
    <col min="2308" max="2308" width="12.85546875" style="929" customWidth="1"/>
    <col min="2309" max="2309" width="12.28515625" style="929" bestFit="1" customWidth="1"/>
    <col min="2310" max="2310" width="12.42578125" style="929" customWidth="1"/>
    <col min="2311" max="2311" width="11.7109375" style="929" bestFit="1" customWidth="1"/>
    <col min="2312" max="2560" width="9.140625" style="929"/>
    <col min="2561" max="2561" width="7.5703125" style="929" customWidth="1"/>
    <col min="2562" max="2562" width="0" style="929" hidden="1" customWidth="1"/>
    <col min="2563" max="2563" width="13.85546875" style="929" customWidth="1"/>
    <col min="2564" max="2564" width="12.85546875" style="929" customWidth="1"/>
    <col min="2565" max="2565" width="12.28515625" style="929" bestFit="1" customWidth="1"/>
    <col min="2566" max="2566" width="12.42578125" style="929" customWidth="1"/>
    <col min="2567" max="2567" width="11.7109375" style="929" bestFit="1" customWidth="1"/>
    <col min="2568" max="2816" width="9.140625" style="929"/>
    <col min="2817" max="2817" width="7.5703125" style="929" customWidth="1"/>
    <col min="2818" max="2818" width="0" style="929" hidden="1" customWidth="1"/>
    <col min="2819" max="2819" width="13.85546875" style="929" customWidth="1"/>
    <col min="2820" max="2820" width="12.85546875" style="929" customWidth="1"/>
    <col min="2821" max="2821" width="12.28515625" style="929" bestFit="1" customWidth="1"/>
    <col min="2822" max="2822" width="12.42578125" style="929" customWidth="1"/>
    <col min="2823" max="2823" width="11.7109375" style="929" bestFit="1" customWidth="1"/>
    <col min="2824" max="3072" width="9.140625" style="929"/>
    <col min="3073" max="3073" width="7.5703125" style="929" customWidth="1"/>
    <col min="3074" max="3074" width="0" style="929" hidden="1" customWidth="1"/>
    <col min="3075" max="3075" width="13.85546875" style="929" customWidth="1"/>
    <col min="3076" max="3076" width="12.85546875" style="929" customWidth="1"/>
    <col min="3077" max="3077" width="12.28515625" style="929" bestFit="1" customWidth="1"/>
    <col min="3078" max="3078" width="12.42578125" style="929" customWidth="1"/>
    <col min="3079" max="3079" width="11.7109375" style="929" bestFit="1" customWidth="1"/>
    <col min="3080" max="3328" width="9.140625" style="929"/>
    <col min="3329" max="3329" width="7.5703125" style="929" customWidth="1"/>
    <col min="3330" max="3330" width="0" style="929" hidden="1" customWidth="1"/>
    <col min="3331" max="3331" width="13.85546875" style="929" customWidth="1"/>
    <col min="3332" max="3332" width="12.85546875" style="929" customWidth="1"/>
    <col min="3333" max="3333" width="12.28515625" style="929" bestFit="1" customWidth="1"/>
    <col min="3334" max="3334" width="12.42578125" style="929" customWidth="1"/>
    <col min="3335" max="3335" width="11.7109375" style="929" bestFit="1" customWidth="1"/>
    <col min="3336" max="3584" width="9.140625" style="929"/>
    <col min="3585" max="3585" width="7.5703125" style="929" customWidth="1"/>
    <col min="3586" max="3586" width="0" style="929" hidden="1" customWidth="1"/>
    <col min="3587" max="3587" width="13.85546875" style="929" customWidth="1"/>
    <col min="3588" max="3588" width="12.85546875" style="929" customWidth="1"/>
    <col min="3589" max="3589" width="12.28515625" style="929" bestFit="1" customWidth="1"/>
    <col min="3590" max="3590" width="12.42578125" style="929" customWidth="1"/>
    <col min="3591" max="3591" width="11.7109375" style="929" bestFit="1" customWidth="1"/>
    <col min="3592" max="3840" width="9.140625" style="929"/>
    <col min="3841" max="3841" width="7.5703125" style="929" customWidth="1"/>
    <col min="3842" max="3842" width="0" style="929" hidden="1" customWidth="1"/>
    <col min="3843" max="3843" width="13.85546875" style="929" customWidth="1"/>
    <col min="3844" max="3844" width="12.85546875" style="929" customWidth="1"/>
    <col min="3845" max="3845" width="12.28515625" style="929" bestFit="1" customWidth="1"/>
    <col min="3846" max="3846" width="12.42578125" style="929" customWidth="1"/>
    <col min="3847" max="3847" width="11.7109375" style="929" bestFit="1" customWidth="1"/>
    <col min="3848" max="4096" width="9.140625" style="929"/>
    <col min="4097" max="4097" width="7.5703125" style="929" customWidth="1"/>
    <col min="4098" max="4098" width="0" style="929" hidden="1" customWidth="1"/>
    <col min="4099" max="4099" width="13.85546875" style="929" customWidth="1"/>
    <col min="4100" max="4100" width="12.85546875" style="929" customWidth="1"/>
    <col min="4101" max="4101" width="12.28515625" style="929" bestFit="1" customWidth="1"/>
    <col min="4102" max="4102" width="12.42578125" style="929" customWidth="1"/>
    <col min="4103" max="4103" width="11.7109375" style="929" bestFit="1" customWidth="1"/>
    <col min="4104" max="4352" width="9.140625" style="929"/>
    <col min="4353" max="4353" width="7.5703125" style="929" customWidth="1"/>
    <col min="4354" max="4354" width="0" style="929" hidden="1" customWidth="1"/>
    <col min="4355" max="4355" width="13.85546875" style="929" customWidth="1"/>
    <col min="4356" max="4356" width="12.85546875" style="929" customWidth="1"/>
    <col min="4357" max="4357" width="12.28515625" style="929" bestFit="1" customWidth="1"/>
    <col min="4358" max="4358" width="12.42578125" style="929" customWidth="1"/>
    <col min="4359" max="4359" width="11.7109375" style="929" bestFit="1" customWidth="1"/>
    <col min="4360" max="4608" width="9.140625" style="929"/>
    <col min="4609" max="4609" width="7.5703125" style="929" customWidth="1"/>
    <col min="4610" max="4610" width="0" style="929" hidden="1" customWidth="1"/>
    <col min="4611" max="4611" width="13.85546875" style="929" customWidth="1"/>
    <col min="4612" max="4612" width="12.85546875" style="929" customWidth="1"/>
    <col min="4613" max="4613" width="12.28515625" style="929" bestFit="1" customWidth="1"/>
    <col min="4614" max="4614" width="12.42578125" style="929" customWidth="1"/>
    <col min="4615" max="4615" width="11.7109375" style="929" bestFit="1" customWidth="1"/>
    <col min="4616" max="4864" width="9.140625" style="929"/>
    <col min="4865" max="4865" width="7.5703125" style="929" customWidth="1"/>
    <col min="4866" max="4866" width="0" style="929" hidden="1" customWidth="1"/>
    <col min="4867" max="4867" width="13.85546875" style="929" customWidth="1"/>
    <col min="4868" max="4868" width="12.85546875" style="929" customWidth="1"/>
    <col min="4869" max="4869" width="12.28515625" style="929" bestFit="1" customWidth="1"/>
    <col min="4870" max="4870" width="12.42578125" style="929" customWidth="1"/>
    <col min="4871" max="4871" width="11.7109375" style="929" bestFit="1" customWidth="1"/>
    <col min="4872" max="5120" width="9.140625" style="929"/>
    <col min="5121" max="5121" width="7.5703125" style="929" customWidth="1"/>
    <col min="5122" max="5122" width="0" style="929" hidden="1" customWidth="1"/>
    <col min="5123" max="5123" width="13.85546875" style="929" customWidth="1"/>
    <col min="5124" max="5124" width="12.85546875" style="929" customWidth="1"/>
    <col min="5125" max="5125" width="12.28515625" style="929" bestFit="1" customWidth="1"/>
    <col min="5126" max="5126" width="12.42578125" style="929" customWidth="1"/>
    <col min="5127" max="5127" width="11.7109375" style="929" bestFit="1" customWidth="1"/>
    <col min="5128" max="5376" width="9.140625" style="929"/>
    <col min="5377" max="5377" width="7.5703125" style="929" customWidth="1"/>
    <col min="5378" max="5378" width="0" style="929" hidden="1" customWidth="1"/>
    <col min="5379" max="5379" width="13.85546875" style="929" customWidth="1"/>
    <col min="5380" max="5380" width="12.85546875" style="929" customWidth="1"/>
    <col min="5381" max="5381" width="12.28515625" style="929" bestFit="1" customWidth="1"/>
    <col min="5382" max="5382" width="12.42578125" style="929" customWidth="1"/>
    <col min="5383" max="5383" width="11.7109375" style="929" bestFit="1" customWidth="1"/>
    <col min="5384" max="5632" width="9.140625" style="929"/>
    <col min="5633" max="5633" width="7.5703125" style="929" customWidth="1"/>
    <col min="5634" max="5634" width="0" style="929" hidden="1" customWidth="1"/>
    <col min="5635" max="5635" width="13.85546875" style="929" customWidth="1"/>
    <col min="5636" max="5636" width="12.85546875" style="929" customWidth="1"/>
    <col min="5637" max="5637" width="12.28515625" style="929" bestFit="1" customWidth="1"/>
    <col min="5638" max="5638" width="12.42578125" style="929" customWidth="1"/>
    <col min="5639" max="5639" width="11.7109375" style="929" bestFit="1" customWidth="1"/>
    <col min="5640" max="5888" width="9.140625" style="929"/>
    <col min="5889" max="5889" width="7.5703125" style="929" customWidth="1"/>
    <col min="5890" max="5890" width="0" style="929" hidden="1" customWidth="1"/>
    <col min="5891" max="5891" width="13.85546875" style="929" customWidth="1"/>
    <col min="5892" max="5892" width="12.85546875" style="929" customWidth="1"/>
    <col min="5893" max="5893" width="12.28515625" style="929" bestFit="1" customWidth="1"/>
    <col min="5894" max="5894" width="12.42578125" style="929" customWidth="1"/>
    <col min="5895" max="5895" width="11.7109375" style="929" bestFit="1" customWidth="1"/>
    <col min="5896" max="6144" width="9.140625" style="929"/>
    <col min="6145" max="6145" width="7.5703125" style="929" customWidth="1"/>
    <col min="6146" max="6146" width="0" style="929" hidden="1" customWidth="1"/>
    <col min="6147" max="6147" width="13.85546875" style="929" customWidth="1"/>
    <col min="6148" max="6148" width="12.85546875" style="929" customWidth="1"/>
    <col min="6149" max="6149" width="12.28515625" style="929" bestFit="1" customWidth="1"/>
    <col min="6150" max="6150" width="12.42578125" style="929" customWidth="1"/>
    <col min="6151" max="6151" width="11.7109375" style="929" bestFit="1" customWidth="1"/>
    <col min="6152" max="6400" width="9.140625" style="929"/>
    <col min="6401" max="6401" width="7.5703125" style="929" customWidth="1"/>
    <col min="6402" max="6402" width="0" style="929" hidden="1" customWidth="1"/>
    <col min="6403" max="6403" width="13.85546875" style="929" customWidth="1"/>
    <col min="6404" max="6404" width="12.85546875" style="929" customWidth="1"/>
    <col min="6405" max="6405" width="12.28515625" style="929" bestFit="1" customWidth="1"/>
    <col min="6406" max="6406" width="12.42578125" style="929" customWidth="1"/>
    <col min="6407" max="6407" width="11.7109375" style="929" bestFit="1" customWidth="1"/>
    <col min="6408" max="6656" width="9.140625" style="929"/>
    <col min="6657" max="6657" width="7.5703125" style="929" customWidth="1"/>
    <col min="6658" max="6658" width="0" style="929" hidden="1" customWidth="1"/>
    <col min="6659" max="6659" width="13.85546875" style="929" customWidth="1"/>
    <col min="6660" max="6660" width="12.85546875" style="929" customWidth="1"/>
    <col min="6661" max="6661" width="12.28515625" style="929" bestFit="1" customWidth="1"/>
    <col min="6662" max="6662" width="12.42578125" style="929" customWidth="1"/>
    <col min="6663" max="6663" width="11.7109375" style="929" bestFit="1" customWidth="1"/>
    <col min="6664" max="6912" width="9.140625" style="929"/>
    <col min="6913" max="6913" width="7.5703125" style="929" customWidth="1"/>
    <col min="6914" max="6914" width="0" style="929" hidden="1" customWidth="1"/>
    <col min="6915" max="6915" width="13.85546875" style="929" customWidth="1"/>
    <col min="6916" max="6916" width="12.85546875" style="929" customWidth="1"/>
    <col min="6917" max="6917" width="12.28515625" style="929" bestFit="1" customWidth="1"/>
    <col min="6918" max="6918" width="12.42578125" style="929" customWidth="1"/>
    <col min="6919" max="6919" width="11.7109375" style="929" bestFit="1" customWidth="1"/>
    <col min="6920" max="7168" width="9.140625" style="929"/>
    <col min="7169" max="7169" width="7.5703125" style="929" customWidth="1"/>
    <col min="7170" max="7170" width="0" style="929" hidden="1" customWidth="1"/>
    <col min="7171" max="7171" width="13.85546875" style="929" customWidth="1"/>
    <col min="7172" max="7172" width="12.85546875" style="929" customWidth="1"/>
    <col min="7173" max="7173" width="12.28515625" style="929" bestFit="1" customWidth="1"/>
    <col min="7174" max="7174" width="12.42578125" style="929" customWidth="1"/>
    <col min="7175" max="7175" width="11.7109375" style="929" bestFit="1" customWidth="1"/>
    <col min="7176" max="7424" width="9.140625" style="929"/>
    <col min="7425" max="7425" width="7.5703125" style="929" customWidth="1"/>
    <col min="7426" max="7426" width="0" style="929" hidden="1" customWidth="1"/>
    <col min="7427" max="7427" width="13.85546875" style="929" customWidth="1"/>
    <col min="7428" max="7428" width="12.85546875" style="929" customWidth="1"/>
    <col min="7429" max="7429" width="12.28515625" style="929" bestFit="1" customWidth="1"/>
    <col min="7430" max="7430" width="12.42578125" style="929" customWidth="1"/>
    <col min="7431" max="7431" width="11.7109375" style="929" bestFit="1" customWidth="1"/>
    <col min="7432" max="7680" width="9.140625" style="929"/>
    <col min="7681" max="7681" width="7.5703125" style="929" customWidth="1"/>
    <col min="7682" max="7682" width="0" style="929" hidden="1" customWidth="1"/>
    <col min="7683" max="7683" width="13.85546875" style="929" customWidth="1"/>
    <col min="7684" max="7684" width="12.85546875" style="929" customWidth="1"/>
    <col min="7685" max="7685" width="12.28515625" style="929" bestFit="1" customWidth="1"/>
    <col min="7686" max="7686" width="12.42578125" style="929" customWidth="1"/>
    <col min="7687" max="7687" width="11.7109375" style="929" bestFit="1" customWidth="1"/>
    <col min="7688" max="7936" width="9.140625" style="929"/>
    <col min="7937" max="7937" width="7.5703125" style="929" customWidth="1"/>
    <col min="7938" max="7938" width="0" style="929" hidden="1" customWidth="1"/>
    <col min="7939" max="7939" width="13.85546875" style="929" customWidth="1"/>
    <col min="7940" max="7940" width="12.85546875" style="929" customWidth="1"/>
    <col min="7941" max="7941" width="12.28515625" style="929" bestFit="1" customWidth="1"/>
    <col min="7942" max="7942" width="12.42578125" style="929" customWidth="1"/>
    <col min="7943" max="7943" width="11.7109375" style="929" bestFit="1" customWidth="1"/>
    <col min="7944" max="8192" width="9.140625" style="929"/>
    <col min="8193" max="8193" width="7.5703125" style="929" customWidth="1"/>
    <col min="8194" max="8194" width="0" style="929" hidden="1" customWidth="1"/>
    <col min="8195" max="8195" width="13.85546875" style="929" customWidth="1"/>
    <col min="8196" max="8196" width="12.85546875" style="929" customWidth="1"/>
    <col min="8197" max="8197" width="12.28515625" style="929" bestFit="1" customWidth="1"/>
    <col min="8198" max="8198" width="12.42578125" style="929" customWidth="1"/>
    <col min="8199" max="8199" width="11.7109375" style="929" bestFit="1" customWidth="1"/>
    <col min="8200" max="8448" width="9.140625" style="929"/>
    <col min="8449" max="8449" width="7.5703125" style="929" customWidth="1"/>
    <col min="8450" max="8450" width="0" style="929" hidden="1" customWidth="1"/>
    <col min="8451" max="8451" width="13.85546875" style="929" customWidth="1"/>
    <col min="8452" max="8452" width="12.85546875" style="929" customWidth="1"/>
    <col min="8453" max="8453" width="12.28515625" style="929" bestFit="1" customWidth="1"/>
    <col min="8454" max="8454" width="12.42578125" style="929" customWidth="1"/>
    <col min="8455" max="8455" width="11.7109375" style="929" bestFit="1" customWidth="1"/>
    <col min="8456" max="8704" width="9.140625" style="929"/>
    <col min="8705" max="8705" width="7.5703125" style="929" customWidth="1"/>
    <col min="8706" max="8706" width="0" style="929" hidden="1" customWidth="1"/>
    <col min="8707" max="8707" width="13.85546875" style="929" customWidth="1"/>
    <col min="8708" max="8708" width="12.85546875" style="929" customWidth="1"/>
    <col min="8709" max="8709" width="12.28515625" style="929" bestFit="1" customWidth="1"/>
    <col min="8710" max="8710" width="12.42578125" style="929" customWidth="1"/>
    <col min="8711" max="8711" width="11.7109375" style="929" bestFit="1" customWidth="1"/>
    <col min="8712" max="8960" width="9.140625" style="929"/>
    <col min="8961" max="8961" width="7.5703125" style="929" customWidth="1"/>
    <col min="8962" max="8962" width="0" style="929" hidden="1" customWidth="1"/>
    <col min="8963" max="8963" width="13.85546875" style="929" customWidth="1"/>
    <col min="8964" max="8964" width="12.85546875" style="929" customWidth="1"/>
    <col min="8965" max="8965" width="12.28515625" style="929" bestFit="1" customWidth="1"/>
    <col min="8966" max="8966" width="12.42578125" style="929" customWidth="1"/>
    <col min="8967" max="8967" width="11.7109375" style="929" bestFit="1" customWidth="1"/>
    <col min="8968" max="9216" width="9.140625" style="929"/>
    <col min="9217" max="9217" width="7.5703125" style="929" customWidth="1"/>
    <col min="9218" max="9218" width="0" style="929" hidden="1" customWidth="1"/>
    <col min="9219" max="9219" width="13.85546875" style="929" customWidth="1"/>
    <col min="9220" max="9220" width="12.85546875" style="929" customWidth="1"/>
    <col min="9221" max="9221" width="12.28515625" style="929" bestFit="1" customWidth="1"/>
    <col min="9222" max="9222" width="12.42578125" style="929" customWidth="1"/>
    <col min="9223" max="9223" width="11.7109375" style="929" bestFit="1" customWidth="1"/>
    <col min="9224" max="9472" width="9.140625" style="929"/>
    <col min="9473" max="9473" width="7.5703125" style="929" customWidth="1"/>
    <col min="9474" max="9474" width="0" style="929" hidden="1" customWidth="1"/>
    <col min="9475" max="9475" width="13.85546875" style="929" customWidth="1"/>
    <col min="9476" max="9476" width="12.85546875" style="929" customWidth="1"/>
    <col min="9477" max="9477" width="12.28515625" style="929" bestFit="1" customWidth="1"/>
    <col min="9478" max="9478" width="12.42578125" style="929" customWidth="1"/>
    <col min="9479" max="9479" width="11.7109375" style="929" bestFit="1" customWidth="1"/>
    <col min="9480" max="9728" width="9.140625" style="929"/>
    <col min="9729" max="9729" width="7.5703125" style="929" customWidth="1"/>
    <col min="9730" max="9730" width="0" style="929" hidden="1" customWidth="1"/>
    <col min="9731" max="9731" width="13.85546875" style="929" customWidth="1"/>
    <col min="9732" max="9732" width="12.85546875" style="929" customWidth="1"/>
    <col min="9733" max="9733" width="12.28515625" style="929" bestFit="1" customWidth="1"/>
    <col min="9734" max="9734" width="12.42578125" style="929" customWidth="1"/>
    <col min="9735" max="9735" width="11.7109375" style="929" bestFit="1" customWidth="1"/>
    <col min="9736" max="9984" width="9.140625" style="929"/>
    <col min="9985" max="9985" width="7.5703125" style="929" customWidth="1"/>
    <col min="9986" max="9986" width="0" style="929" hidden="1" customWidth="1"/>
    <col min="9987" max="9987" width="13.85546875" style="929" customWidth="1"/>
    <col min="9988" max="9988" width="12.85546875" style="929" customWidth="1"/>
    <col min="9989" max="9989" width="12.28515625" style="929" bestFit="1" customWidth="1"/>
    <col min="9990" max="9990" width="12.42578125" style="929" customWidth="1"/>
    <col min="9991" max="9991" width="11.7109375" style="929" bestFit="1" customWidth="1"/>
    <col min="9992" max="10240" width="9.140625" style="929"/>
    <col min="10241" max="10241" width="7.5703125" style="929" customWidth="1"/>
    <col min="10242" max="10242" width="0" style="929" hidden="1" customWidth="1"/>
    <col min="10243" max="10243" width="13.85546875" style="929" customWidth="1"/>
    <col min="10244" max="10244" width="12.85546875" style="929" customWidth="1"/>
    <col min="10245" max="10245" width="12.28515625" style="929" bestFit="1" customWidth="1"/>
    <col min="10246" max="10246" width="12.42578125" style="929" customWidth="1"/>
    <col min="10247" max="10247" width="11.7109375" style="929" bestFit="1" customWidth="1"/>
    <col min="10248" max="10496" width="9.140625" style="929"/>
    <col min="10497" max="10497" width="7.5703125" style="929" customWidth="1"/>
    <col min="10498" max="10498" width="0" style="929" hidden="1" customWidth="1"/>
    <col min="10499" max="10499" width="13.85546875" style="929" customWidth="1"/>
    <col min="10500" max="10500" width="12.85546875" style="929" customWidth="1"/>
    <col min="10501" max="10501" width="12.28515625" style="929" bestFit="1" customWidth="1"/>
    <col min="10502" max="10502" width="12.42578125" style="929" customWidth="1"/>
    <col min="10503" max="10503" width="11.7109375" style="929" bestFit="1" customWidth="1"/>
    <col min="10504" max="10752" width="9.140625" style="929"/>
    <col min="10753" max="10753" width="7.5703125" style="929" customWidth="1"/>
    <col min="10754" max="10754" width="0" style="929" hidden="1" customWidth="1"/>
    <col min="10755" max="10755" width="13.85546875" style="929" customWidth="1"/>
    <col min="10756" max="10756" width="12.85546875" style="929" customWidth="1"/>
    <col min="10757" max="10757" width="12.28515625" style="929" bestFit="1" customWidth="1"/>
    <col min="10758" max="10758" width="12.42578125" style="929" customWidth="1"/>
    <col min="10759" max="10759" width="11.7109375" style="929" bestFit="1" customWidth="1"/>
    <col min="10760" max="11008" width="9.140625" style="929"/>
    <col min="11009" max="11009" width="7.5703125" style="929" customWidth="1"/>
    <col min="11010" max="11010" width="0" style="929" hidden="1" customWidth="1"/>
    <col min="11011" max="11011" width="13.85546875" style="929" customWidth="1"/>
    <col min="11012" max="11012" width="12.85546875" style="929" customWidth="1"/>
    <col min="11013" max="11013" width="12.28515625" style="929" bestFit="1" customWidth="1"/>
    <col min="11014" max="11014" width="12.42578125" style="929" customWidth="1"/>
    <col min="11015" max="11015" width="11.7109375" style="929" bestFit="1" customWidth="1"/>
    <col min="11016" max="11264" width="9.140625" style="929"/>
    <col min="11265" max="11265" width="7.5703125" style="929" customWidth="1"/>
    <col min="11266" max="11266" width="0" style="929" hidden="1" customWidth="1"/>
    <col min="11267" max="11267" width="13.85546875" style="929" customWidth="1"/>
    <col min="11268" max="11268" width="12.85546875" style="929" customWidth="1"/>
    <col min="11269" max="11269" width="12.28515625" style="929" bestFit="1" customWidth="1"/>
    <col min="11270" max="11270" width="12.42578125" style="929" customWidth="1"/>
    <col min="11271" max="11271" width="11.7109375" style="929" bestFit="1" customWidth="1"/>
    <col min="11272" max="11520" width="9.140625" style="929"/>
    <col min="11521" max="11521" width="7.5703125" style="929" customWidth="1"/>
    <col min="11522" max="11522" width="0" style="929" hidden="1" customWidth="1"/>
    <col min="11523" max="11523" width="13.85546875" style="929" customWidth="1"/>
    <col min="11524" max="11524" width="12.85546875" style="929" customWidth="1"/>
    <col min="11525" max="11525" width="12.28515625" style="929" bestFit="1" customWidth="1"/>
    <col min="11526" max="11526" width="12.42578125" style="929" customWidth="1"/>
    <col min="11527" max="11527" width="11.7109375" style="929" bestFit="1" customWidth="1"/>
    <col min="11528" max="11776" width="9.140625" style="929"/>
    <col min="11777" max="11777" width="7.5703125" style="929" customWidth="1"/>
    <col min="11778" max="11778" width="0" style="929" hidden="1" customWidth="1"/>
    <col min="11779" max="11779" width="13.85546875" style="929" customWidth="1"/>
    <col min="11780" max="11780" width="12.85546875" style="929" customWidth="1"/>
    <col min="11781" max="11781" width="12.28515625" style="929" bestFit="1" customWidth="1"/>
    <col min="11782" max="11782" width="12.42578125" style="929" customWidth="1"/>
    <col min="11783" max="11783" width="11.7109375" style="929" bestFit="1" customWidth="1"/>
    <col min="11784" max="12032" width="9.140625" style="929"/>
    <col min="12033" max="12033" width="7.5703125" style="929" customWidth="1"/>
    <col min="12034" max="12034" width="0" style="929" hidden="1" customWidth="1"/>
    <col min="12035" max="12035" width="13.85546875" style="929" customWidth="1"/>
    <col min="12036" max="12036" width="12.85546875" style="929" customWidth="1"/>
    <col min="12037" max="12037" width="12.28515625" style="929" bestFit="1" customWidth="1"/>
    <col min="12038" max="12038" width="12.42578125" style="929" customWidth="1"/>
    <col min="12039" max="12039" width="11.7109375" style="929" bestFit="1" customWidth="1"/>
    <col min="12040" max="12288" width="9.140625" style="929"/>
    <col min="12289" max="12289" width="7.5703125" style="929" customWidth="1"/>
    <col min="12290" max="12290" width="0" style="929" hidden="1" customWidth="1"/>
    <col min="12291" max="12291" width="13.85546875" style="929" customWidth="1"/>
    <col min="12292" max="12292" width="12.85546875" style="929" customWidth="1"/>
    <col min="12293" max="12293" width="12.28515625" style="929" bestFit="1" customWidth="1"/>
    <col min="12294" max="12294" width="12.42578125" style="929" customWidth="1"/>
    <col min="12295" max="12295" width="11.7109375" style="929" bestFit="1" customWidth="1"/>
    <col min="12296" max="12544" width="9.140625" style="929"/>
    <col min="12545" max="12545" width="7.5703125" style="929" customWidth="1"/>
    <col min="12546" max="12546" width="0" style="929" hidden="1" customWidth="1"/>
    <col min="12547" max="12547" width="13.85546875" style="929" customWidth="1"/>
    <col min="12548" max="12548" width="12.85546875" style="929" customWidth="1"/>
    <col min="12549" max="12549" width="12.28515625" style="929" bestFit="1" customWidth="1"/>
    <col min="12550" max="12550" width="12.42578125" style="929" customWidth="1"/>
    <col min="12551" max="12551" width="11.7109375" style="929" bestFit="1" customWidth="1"/>
    <col min="12552" max="12800" width="9.140625" style="929"/>
    <col min="12801" max="12801" width="7.5703125" style="929" customWidth="1"/>
    <col min="12802" max="12802" width="0" style="929" hidden="1" customWidth="1"/>
    <col min="12803" max="12803" width="13.85546875" style="929" customWidth="1"/>
    <col min="12804" max="12804" width="12.85546875" style="929" customWidth="1"/>
    <col min="12805" max="12805" width="12.28515625" style="929" bestFit="1" customWidth="1"/>
    <col min="12806" max="12806" width="12.42578125" style="929" customWidth="1"/>
    <col min="12807" max="12807" width="11.7109375" style="929" bestFit="1" customWidth="1"/>
    <col min="12808" max="13056" width="9.140625" style="929"/>
    <col min="13057" max="13057" width="7.5703125" style="929" customWidth="1"/>
    <col min="13058" max="13058" width="0" style="929" hidden="1" customWidth="1"/>
    <col min="13059" max="13059" width="13.85546875" style="929" customWidth="1"/>
    <col min="13060" max="13060" width="12.85546875" style="929" customWidth="1"/>
    <col min="13061" max="13061" width="12.28515625" style="929" bestFit="1" customWidth="1"/>
    <col min="13062" max="13062" width="12.42578125" style="929" customWidth="1"/>
    <col min="13063" max="13063" width="11.7109375" style="929" bestFit="1" customWidth="1"/>
    <col min="13064" max="13312" width="9.140625" style="929"/>
    <col min="13313" max="13313" width="7.5703125" style="929" customWidth="1"/>
    <col min="13314" max="13314" width="0" style="929" hidden="1" customWidth="1"/>
    <col min="13315" max="13315" width="13.85546875" style="929" customWidth="1"/>
    <col min="13316" max="13316" width="12.85546875" style="929" customWidth="1"/>
    <col min="13317" max="13317" width="12.28515625" style="929" bestFit="1" customWidth="1"/>
    <col min="13318" max="13318" width="12.42578125" style="929" customWidth="1"/>
    <col min="13319" max="13319" width="11.7109375" style="929" bestFit="1" customWidth="1"/>
    <col min="13320" max="13568" width="9.140625" style="929"/>
    <col min="13569" max="13569" width="7.5703125" style="929" customWidth="1"/>
    <col min="13570" max="13570" width="0" style="929" hidden="1" customWidth="1"/>
    <col min="13571" max="13571" width="13.85546875" style="929" customWidth="1"/>
    <col min="13572" max="13572" width="12.85546875" style="929" customWidth="1"/>
    <col min="13573" max="13573" width="12.28515625" style="929" bestFit="1" customWidth="1"/>
    <col min="13574" max="13574" width="12.42578125" style="929" customWidth="1"/>
    <col min="13575" max="13575" width="11.7109375" style="929" bestFit="1" customWidth="1"/>
    <col min="13576" max="13824" width="9.140625" style="929"/>
    <col min="13825" max="13825" width="7.5703125" style="929" customWidth="1"/>
    <col min="13826" max="13826" width="0" style="929" hidden="1" customWidth="1"/>
    <col min="13827" max="13827" width="13.85546875" style="929" customWidth="1"/>
    <col min="13828" max="13828" width="12.85546875" style="929" customWidth="1"/>
    <col min="13829" max="13829" width="12.28515625" style="929" bestFit="1" customWidth="1"/>
    <col min="13830" max="13830" width="12.42578125" style="929" customWidth="1"/>
    <col min="13831" max="13831" width="11.7109375" style="929" bestFit="1" customWidth="1"/>
    <col min="13832" max="14080" width="9.140625" style="929"/>
    <col min="14081" max="14081" width="7.5703125" style="929" customWidth="1"/>
    <col min="14082" max="14082" width="0" style="929" hidden="1" customWidth="1"/>
    <col min="14083" max="14083" width="13.85546875" style="929" customWidth="1"/>
    <col min="14084" max="14084" width="12.85546875" style="929" customWidth="1"/>
    <col min="14085" max="14085" width="12.28515625" style="929" bestFit="1" customWidth="1"/>
    <col min="14086" max="14086" width="12.42578125" style="929" customWidth="1"/>
    <col min="14087" max="14087" width="11.7109375" style="929" bestFit="1" customWidth="1"/>
    <col min="14088" max="14336" width="9.140625" style="929"/>
    <col min="14337" max="14337" width="7.5703125" style="929" customWidth="1"/>
    <col min="14338" max="14338" width="0" style="929" hidden="1" customWidth="1"/>
    <col min="14339" max="14339" width="13.85546875" style="929" customWidth="1"/>
    <col min="14340" max="14340" width="12.85546875" style="929" customWidth="1"/>
    <col min="14341" max="14341" width="12.28515625" style="929" bestFit="1" customWidth="1"/>
    <col min="14342" max="14342" width="12.42578125" style="929" customWidth="1"/>
    <col min="14343" max="14343" width="11.7109375" style="929" bestFit="1" customWidth="1"/>
    <col min="14344" max="14592" width="9.140625" style="929"/>
    <col min="14593" max="14593" width="7.5703125" style="929" customWidth="1"/>
    <col min="14594" max="14594" width="0" style="929" hidden="1" customWidth="1"/>
    <col min="14595" max="14595" width="13.85546875" style="929" customWidth="1"/>
    <col min="14596" max="14596" width="12.85546875" style="929" customWidth="1"/>
    <col min="14597" max="14597" width="12.28515625" style="929" bestFit="1" customWidth="1"/>
    <col min="14598" max="14598" width="12.42578125" style="929" customWidth="1"/>
    <col min="14599" max="14599" width="11.7109375" style="929" bestFit="1" customWidth="1"/>
    <col min="14600" max="14848" width="9.140625" style="929"/>
    <col min="14849" max="14849" width="7.5703125" style="929" customWidth="1"/>
    <col min="14850" max="14850" width="0" style="929" hidden="1" customWidth="1"/>
    <col min="14851" max="14851" width="13.85546875" style="929" customWidth="1"/>
    <col min="14852" max="14852" width="12.85546875" style="929" customWidth="1"/>
    <col min="14853" max="14853" width="12.28515625" style="929" bestFit="1" customWidth="1"/>
    <col min="14854" max="14854" width="12.42578125" style="929" customWidth="1"/>
    <col min="14855" max="14855" width="11.7109375" style="929" bestFit="1" customWidth="1"/>
    <col min="14856" max="15104" width="9.140625" style="929"/>
    <col min="15105" max="15105" width="7.5703125" style="929" customWidth="1"/>
    <col min="15106" max="15106" width="0" style="929" hidden="1" customWidth="1"/>
    <col min="15107" max="15107" width="13.85546875" style="929" customWidth="1"/>
    <col min="15108" max="15108" width="12.85546875" style="929" customWidth="1"/>
    <col min="15109" max="15109" width="12.28515625" style="929" bestFit="1" customWidth="1"/>
    <col min="15110" max="15110" width="12.42578125" style="929" customWidth="1"/>
    <col min="15111" max="15111" width="11.7109375" style="929" bestFit="1" customWidth="1"/>
    <col min="15112" max="15360" width="9.140625" style="929"/>
    <col min="15361" max="15361" width="7.5703125" style="929" customWidth="1"/>
    <col min="15362" max="15362" width="0" style="929" hidden="1" customWidth="1"/>
    <col min="15363" max="15363" width="13.85546875" style="929" customWidth="1"/>
    <col min="15364" max="15364" width="12.85546875" style="929" customWidth="1"/>
    <col min="15365" max="15365" width="12.28515625" style="929" bestFit="1" customWidth="1"/>
    <col min="15366" max="15366" width="12.42578125" style="929" customWidth="1"/>
    <col min="15367" max="15367" width="11.7109375" style="929" bestFit="1" customWidth="1"/>
    <col min="15368" max="15616" width="9.140625" style="929"/>
    <col min="15617" max="15617" width="7.5703125" style="929" customWidth="1"/>
    <col min="15618" max="15618" width="0" style="929" hidden="1" customWidth="1"/>
    <col min="15619" max="15619" width="13.85546875" style="929" customWidth="1"/>
    <col min="15620" max="15620" width="12.85546875" style="929" customWidth="1"/>
    <col min="15621" max="15621" width="12.28515625" style="929" bestFit="1" customWidth="1"/>
    <col min="15622" max="15622" width="12.42578125" style="929" customWidth="1"/>
    <col min="15623" max="15623" width="11.7109375" style="929" bestFit="1" customWidth="1"/>
    <col min="15624" max="15872" width="9.140625" style="929"/>
    <col min="15873" max="15873" width="7.5703125" style="929" customWidth="1"/>
    <col min="15874" max="15874" width="0" style="929" hidden="1" customWidth="1"/>
    <col min="15875" max="15875" width="13.85546875" style="929" customWidth="1"/>
    <col min="15876" max="15876" width="12.85546875" style="929" customWidth="1"/>
    <col min="15877" max="15877" width="12.28515625" style="929" bestFit="1" customWidth="1"/>
    <col min="15878" max="15878" width="12.42578125" style="929" customWidth="1"/>
    <col min="15879" max="15879" width="11.7109375" style="929" bestFit="1" customWidth="1"/>
    <col min="15880" max="16128" width="9.140625" style="929"/>
    <col min="16129" max="16129" width="7.5703125" style="929" customWidth="1"/>
    <col min="16130" max="16130" width="0" style="929" hidden="1" customWidth="1"/>
    <col min="16131" max="16131" width="13.85546875" style="929" customWidth="1"/>
    <col min="16132" max="16132" width="12.85546875" style="929" customWidth="1"/>
    <col min="16133" max="16133" width="12.28515625" style="929" bestFit="1" customWidth="1"/>
    <col min="16134" max="16134" width="12.42578125" style="929" customWidth="1"/>
    <col min="16135" max="16135" width="11.7109375" style="929" bestFit="1" customWidth="1"/>
    <col min="16136" max="16384" width="9.140625" style="929"/>
  </cols>
  <sheetData>
    <row r="1" spans="1:7">
      <c r="E1" s="926"/>
      <c r="F1" s="927"/>
    </row>
    <row r="2" spans="1:7">
      <c r="A2" s="2331" t="s">
        <v>466</v>
      </c>
      <c r="B2" s="2331"/>
      <c r="C2" s="2331"/>
      <c r="D2" s="2331"/>
      <c r="E2" s="2331"/>
      <c r="F2" s="2331"/>
      <c r="G2" s="2331"/>
    </row>
    <row r="3" spans="1:7" ht="16.5" thickBot="1"/>
    <row r="4" spans="1:7" ht="48.75" thickTop="1" thickBot="1">
      <c r="A4" s="948" t="s">
        <v>459</v>
      </c>
      <c r="B4" s="949" t="s">
        <v>460</v>
      </c>
      <c r="C4" s="949" t="s">
        <v>463</v>
      </c>
      <c r="D4" s="949" t="s">
        <v>461</v>
      </c>
      <c r="E4" s="949" t="s">
        <v>464</v>
      </c>
      <c r="F4" s="949" t="s">
        <v>465</v>
      </c>
      <c r="G4" s="950" t="s">
        <v>462</v>
      </c>
    </row>
    <row r="5" spans="1:7">
      <c r="A5" s="951">
        <v>1</v>
      </c>
      <c r="B5" s="952">
        <v>30</v>
      </c>
      <c r="C5" s="952">
        <f>'1.План'!F13</f>
        <v>0</v>
      </c>
      <c r="D5" s="1390">
        <v>16</v>
      </c>
      <c r="E5" s="952">
        <f>C5/36</f>
        <v>0</v>
      </c>
      <c r="F5" s="966">
        <f t="shared" ref="F5:F40" si="0">C5*D5%/365*B5</f>
        <v>0</v>
      </c>
      <c r="G5" s="961">
        <f>E5+F5</f>
        <v>0</v>
      </c>
    </row>
    <row r="6" spans="1:7">
      <c r="A6" s="953">
        <v>2</v>
      </c>
      <c r="B6" s="954">
        <v>31</v>
      </c>
      <c r="C6" s="954">
        <f t="shared" ref="C6:C40" si="1">C5-E5</f>
        <v>0</v>
      </c>
      <c r="D6" s="1390">
        <f>D5</f>
        <v>16</v>
      </c>
      <c r="E6" s="954">
        <f t="shared" ref="E6:E40" si="2">$E$5</f>
        <v>0</v>
      </c>
      <c r="F6" s="967">
        <f t="shared" si="0"/>
        <v>0</v>
      </c>
      <c r="G6" s="961">
        <f t="shared" ref="G6:G40" si="3">E6+F6</f>
        <v>0</v>
      </c>
    </row>
    <row r="7" spans="1:7">
      <c r="A7" s="955">
        <v>3</v>
      </c>
      <c r="B7" s="956">
        <v>30</v>
      </c>
      <c r="C7" s="956">
        <f t="shared" si="1"/>
        <v>0</v>
      </c>
      <c r="D7" s="1390">
        <f t="shared" ref="D7:D40" si="4">D6</f>
        <v>16</v>
      </c>
      <c r="E7" s="956">
        <f t="shared" si="2"/>
        <v>0</v>
      </c>
      <c r="F7" s="968">
        <f t="shared" si="0"/>
        <v>0</v>
      </c>
      <c r="G7" s="962">
        <f t="shared" si="3"/>
        <v>0</v>
      </c>
    </row>
    <row r="8" spans="1:7">
      <c r="A8" s="957">
        <v>4</v>
      </c>
      <c r="B8" s="958">
        <v>31</v>
      </c>
      <c r="C8" s="958">
        <f t="shared" si="1"/>
        <v>0</v>
      </c>
      <c r="D8" s="1390">
        <f t="shared" si="4"/>
        <v>16</v>
      </c>
      <c r="E8" s="958">
        <f t="shared" si="2"/>
        <v>0</v>
      </c>
      <c r="F8" s="969">
        <f t="shared" si="0"/>
        <v>0</v>
      </c>
      <c r="G8" s="961">
        <f t="shared" si="3"/>
        <v>0</v>
      </c>
    </row>
    <row r="9" spans="1:7">
      <c r="A9" s="953">
        <v>5</v>
      </c>
      <c r="B9" s="954">
        <v>31</v>
      </c>
      <c r="C9" s="954">
        <f t="shared" si="1"/>
        <v>0</v>
      </c>
      <c r="D9" s="1390">
        <f t="shared" si="4"/>
        <v>16</v>
      </c>
      <c r="E9" s="954">
        <f t="shared" si="2"/>
        <v>0</v>
      </c>
      <c r="F9" s="967">
        <f t="shared" si="0"/>
        <v>0</v>
      </c>
      <c r="G9" s="961">
        <f t="shared" si="3"/>
        <v>0</v>
      </c>
    </row>
    <row r="10" spans="1:7">
      <c r="A10" s="955">
        <v>6</v>
      </c>
      <c r="B10" s="956">
        <v>30</v>
      </c>
      <c r="C10" s="956">
        <f t="shared" si="1"/>
        <v>0</v>
      </c>
      <c r="D10" s="1390">
        <f t="shared" si="4"/>
        <v>16</v>
      </c>
      <c r="E10" s="956">
        <f t="shared" si="2"/>
        <v>0</v>
      </c>
      <c r="F10" s="968">
        <f t="shared" si="0"/>
        <v>0</v>
      </c>
      <c r="G10" s="962">
        <f t="shared" si="3"/>
        <v>0</v>
      </c>
    </row>
    <row r="11" spans="1:7">
      <c r="A11" s="957">
        <v>7</v>
      </c>
      <c r="B11" s="958">
        <v>31</v>
      </c>
      <c r="C11" s="958">
        <f t="shared" si="1"/>
        <v>0</v>
      </c>
      <c r="D11" s="1390">
        <f t="shared" si="4"/>
        <v>16</v>
      </c>
      <c r="E11" s="958">
        <f t="shared" si="2"/>
        <v>0</v>
      </c>
      <c r="F11" s="969">
        <f t="shared" si="0"/>
        <v>0</v>
      </c>
      <c r="G11" s="961">
        <f t="shared" si="3"/>
        <v>0</v>
      </c>
    </row>
    <row r="12" spans="1:7">
      <c r="A12" s="953">
        <v>8</v>
      </c>
      <c r="B12" s="954">
        <v>30</v>
      </c>
      <c r="C12" s="954">
        <f t="shared" si="1"/>
        <v>0</v>
      </c>
      <c r="D12" s="1390">
        <f t="shared" si="4"/>
        <v>16</v>
      </c>
      <c r="E12" s="954">
        <f t="shared" si="2"/>
        <v>0</v>
      </c>
      <c r="F12" s="967">
        <f t="shared" si="0"/>
        <v>0</v>
      </c>
      <c r="G12" s="961">
        <f t="shared" si="3"/>
        <v>0</v>
      </c>
    </row>
    <row r="13" spans="1:7">
      <c r="A13" s="955">
        <v>9</v>
      </c>
      <c r="B13" s="956">
        <v>31</v>
      </c>
      <c r="C13" s="956">
        <f t="shared" si="1"/>
        <v>0</v>
      </c>
      <c r="D13" s="1390">
        <f t="shared" si="4"/>
        <v>16</v>
      </c>
      <c r="E13" s="956">
        <f t="shared" si="2"/>
        <v>0</v>
      </c>
      <c r="F13" s="968">
        <f t="shared" si="0"/>
        <v>0</v>
      </c>
      <c r="G13" s="962">
        <f t="shared" si="3"/>
        <v>0</v>
      </c>
    </row>
    <row r="14" spans="1:7">
      <c r="A14" s="957">
        <v>10</v>
      </c>
      <c r="B14" s="958">
        <v>31</v>
      </c>
      <c r="C14" s="958">
        <f t="shared" si="1"/>
        <v>0</v>
      </c>
      <c r="D14" s="1390">
        <f t="shared" si="4"/>
        <v>16</v>
      </c>
      <c r="E14" s="958">
        <f t="shared" si="2"/>
        <v>0</v>
      </c>
      <c r="F14" s="969">
        <f t="shared" si="0"/>
        <v>0</v>
      </c>
      <c r="G14" s="961">
        <f t="shared" si="3"/>
        <v>0</v>
      </c>
    </row>
    <row r="15" spans="1:7">
      <c r="A15" s="953">
        <v>11</v>
      </c>
      <c r="B15" s="954">
        <v>28</v>
      </c>
      <c r="C15" s="954">
        <f t="shared" si="1"/>
        <v>0</v>
      </c>
      <c r="D15" s="1390">
        <f t="shared" si="4"/>
        <v>16</v>
      </c>
      <c r="E15" s="954">
        <f t="shared" si="2"/>
        <v>0</v>
      </c>
      <c r="F15" s="967">
        <f t="shared" si="0"/>
        <v>0</v>
      </c>
      <c r="G15" s="961">
        <f t="shared" si="3"/>
        <v>0</v>
      </c>
    </row>
    <row r="16" spans="1:7">
      <c r="A16" s="955">
        <v>12</v>
      </c>
      <c r="B16" s="956">
        <v>31</v>
      </c>
      <c r="C16" s="956">
        <f t="shared" si="1"/>
        <v>0</v>
      </c>
      <c r="D16" s="1390">
        <f t="shared" si="4"/>
        <v>16</v>
      </c>
      <c r="E16" s="956">
        <f t="shared" si="2"/>
        <v>0</v>
      </c>
      <c r="F16" s="968">
        <f t="shared" si="0"/>
        <v>0</v>
      </c>
      <c r="G16" s="962">
        <f t="shared" si="3"/>
        <v>0</v>
      </c>
    </row>
    <row r="17" spans="1:7">
      <c r="A17" s="939">
        <v>13</v>
      </c>
      <c r="B17" s="930">
        <v>30</v>
      </c>
      <c r="C17" s="930">
        <f t="shared" si="1"/>
        <v>0</v>
      </c>
      <c r="D17" s="1390">
        <f t="shared" si="4"/>
        <v>16</v>
      </c>
      <c r="E17" s="930">
        <f t="shared" si="2"/>
        <v>0</v>
      </c>
      <c r="F17" s="970">
        <f t="shared" si="0"/>
        <v>0</v>
      </c>
      <c r="G17" s="963">
        <f t="shared" si="3"/>
        <v>0</v>
      </c>
    </row>
    <row r="18" spans="1:7">
      <c r="A18" s="940">
        <v>14</v>
      </c>
      <c r="B18" s="931">
        <v>31</v>
      </c>
      <c r="C18" s="931">
        <f t="shared" si="1"/>
        <v>0</v>
      </c>
      <c r="D18" s="1390">
        <f t="shared" si="4"/>
        <v>16</v>
      </c>
      <c r="E18" s="931">
        <f t="shared" si="2"/>
        <v>0</v>
      </c>
      <c r="F18" s="971">
        <f t="shared" si="0"/>
        <v>0</v>
      </c>
      <c r="G18" s="963">
        <f t="shared" si="3"/>
        <v>0</v>
      </c>
    </row>
    <row r="19" spans="1:7">
      <c r="A19" s="941">
        <v>15</v>
      </c>
      <c r="B19" s="932">
        <v>30</v>
      </c>
      <c r="C19" s="932">
        <f t="shared" si="1"/>
        <v>0</v>
      </c>
      <c r="D19" s="1390">
        <f t="shared" si="4"/>
        <v>16</v>
      </c>
      <c r="E19" s="932">
        <f t="shared" si="2"/>
        <v>0</v>
      </c>
      <c r="F19" s="972">
        <f t="shared" si="0"/>
        <v>0</v>
      </c>
      <c r="G19" s="964">
        <f t="shared" si="3"/>
        <v>0</v>
      </c>
    </row>
    <row r="20" spans="1:7">
      <c r="A20" s="939">
        <v>16</v>
      </c>
      <c r="B20" s="930">
        <v>31</v>
      </c>
      <c r="C20" s="930">
        <f t="shared" si="1"/>
        <v>0</v>
      </c>
      <c r="D20" s="1390">
        <f t="shared" si="4"/>
        <v>16</v>
      </c>
      <c r="E20" s="930">
        <f t="shared" si="2"/>
        <v>0</v>
      </c>
      <c r="F20" s="970">
        <f t="shared" si="0"/>
        <v>0</v>
      </c>
      <c r="G20" s="963">
        <f t="shared" si="3"/>
        <v>0</v>
      </c>
    </row>
    <row r="21" spans="1:7">
      <c r="A21" s="940">
        <v>17</v>
      </c>
      <c r="B21" s="931">
        <v>31</v>
      </c>
      <c r="C21" s="931">
        <f t="shared" si="1"/>
        <v>0</v>
      </c>
      <c r="D21" s="1390">
        <f t="shared" si="4"/>
        <v>16</v>
      </c>
      <c r="E21" s="931">
        <f t="shared" si="2"/>
        <v>0</v>
      </c>
      <c r="F21" s="971">
        <f t="shared" si="0"/>
        <v>0</v>
      </c>
      <c r="G21" s="963">
        <f t="shared" si="3"/>
        <v>0</v>
      </c>
    </row>
    <row r="22" spans="1:7">
      <c r="A22" s="941">
        <v>18</v>
      </c>
      <c r="B22" s="932">
        <v>30</v>
      </c>
      <c r="C22" s="932">
        <f t="shared" si="1"/>
        <v>0</v>
      </c>
      <c r="D22" s="1390">
        <f t="shared" si="4"/>
        <v>16</v>
      </c>
      <c r="E22" s="932">
        <f t="shared" si="2"/>
        <v>0</v>
      </c>
      <c r="F22" s="972">
        <f t="shared" si="0"/>
        <v>0</v>
      </c>
      <c r="G22" s="964">
        <f t="shared" si="3"/>
        <v>0</v>
      </c>
    </row>
    <row r="23" spans="1:7">
      <c r="A23" s="939">
        <v>19</v>
      </c>
      <c r="B23" s="930">
        <v>31</v>
      </c>
      <c r="C23" s="930">
        <f t="shared" si="1"/>
        <v>0</v>
      </c>
      <c r="D23" s="1390">
        <f t="shared" si="4"/>
        <v>16</v>
      </c>
      <c r="E23" s="930">
        <f t="shared" si="2"/>
        <v>0</v>
      </c>
      <c r="F23" s="970">
        <f t="shared" si="0"/>
        <v>0</v>
      </c>
      <c r="G23" s="963">
        <f t="shared" si="3"/>
        <v>0</v>
      </c>
    </row>
    <row r="24" spans="1:7">
      <c r="A24" s="940">
        <v>20</v>
      </c>
      <c r="B24" s="931">
        <v>30</v>
      </c>
      <c r="C24" s="931">
        <f t="shared" si="1"/>
        <v>0</v>
      </c>
      <c r="D24" s="1390">
        <f t="shared" si="4"/>
        <v>16</v>
      </c>
      <c r="E24" s="931">
        <f t="shared" si="2"/>
        <v>0</v>
      </c>
      <c r="F24" s="971">
        <f t="shared" si="0"/>
        <v>0</v>
      </c>
      <c r="G24" s="963">
        <f t="shared" si="3"/>
        <v>0</v>
      </c>
    </row>
    <row r="25" spans="1:7">
      <c r="A25" s="941">
        <v>21</v>
      </c>
      <c r="B25" s="932">
        <v>31</v>
      </c>
      <c r="C25" s="932">
        <f t="shared" si="1"/>
        <v>0</v>
      </c>
      <c r="D25" s="1390">
        <f t="shared" si="4"/>
        <v>16</v>
      </c>
      <c r="E25" s="932">
        <f t="shared" si="2"/>
        <v>0</v>
      </c>
      <c r="F25" s="972">
        <f t="shared" si="0"/>
        <v>0</v>
      </c>
      <c r="G25" s="964">
        <f t="shared" si="3"/>
        <v>0</v>
      </c>
    </row>
    <row r="26" spans="1:7">
      <c r="A26" s="939">
        <v>22</v>
      </c>
      <c r="B26" s="930">
        <v>31</v>
      </c>
      <c r="C26" s="930">
        <f t="shared" si="1"/>
        <v>0</v>
      </c>
      <c r="D26" s="1390">
        <f t="shared" si="4"/>
        <v>16</v>
      </c>
      <c r="E26" s="930">
        <f t="shared" si="2"/>
        <v>0</v>
      </c>
      <c r="F26" s="970">
        <f t="shared" si="0"/>
        <v>0</v>
      </c>
      <c r="G26" s="963">
        <f t="shared" si="3"/>
        <v>0</v>
      </c>
    </row>
    <row r="27" spans="1:7">
      <c r="A27" s="940">
        <v>23</v>
      </c>
      <c r="B27" s="931">
        <v>28</v>
      </c>
      <c r="C27" s="931">
        <f t="shared" si="1"/>
        <v>0</v>
      </c>
      <c r="D27" s="1390">
        <f t="shared" si="4"/>
        <v>16</v>
      </c>
      <c r="E27" s="931">
        <f t="shared" si="2"/>
        <v>0</v>
      </c>
      <c r="F27" s="971">
        <f t="shared" si="0"/>
        <v>0</v>
      </c>
      <c r="G27" s="963">
        <f t="shared" si="3"/>
        <v>0</v>
      </c>
    </row>
    <row r="28" spans="1:7">
      <c r="A28" s="941">
        <v>24</v>
      </c>
      <c r="B28" s="932">
        <v>31</v>
      </c>
      <c r="C28" s="932">
        <f t="shared" si="1"/>
        <v>0</v>
      </c>
      <c r="D28" s="1390">
        <f t="shared" si="4"/>
        <v>16</v>
      </c>
      <c r="E28" s="932">
        <f t="shared" si="2"/>
        <v>0</v>
      </c>
      <c r="F28" s="972">
        <f t="shared" si="0"/>
        <v>0</v>
      </c>
      <c r="G28" s="964">
        <f t="shared" si="3"/>
        <v>0</v>
      </c>
    </row>
    <row r="29" spans="1:7">
      <c r="A29" s="957">
        <v>25</v>
      </c>
      <c r="B29" s="958">
        <v>30</v>
      </c>
      <c r="C29" s="958">
        <f t="shared" si="1"/>
        <v>0</v>
      </c>
      <c r="D29" s="1390">
        <f t="shared" si="4"/>
        <v>16</v>
      </c>
      <c r="E29" s="958">
        <f t="shared" si="2"/>
        <v>0</v>
      </c>
      <c r="F29" s="969">
        <f t="shared" si="0"/>
        <v>0</v>
      </c>
      <c r="G29" s="961">
        <f t="shared" si="3"/>
        <v>0</v>
      </c>
    </row>
    <row r="30" spans="1:7">
      <c r="A30" s="953">
        <v>26</v>
      </c>
      <c r="B30" s="954">
        <v>31</v>
      </c>
      <c r="C30" s="954">
        <f t="shared" si="1"/>
        <v>0</v>
      </c>
      <c r="D30" s="1390">
        <f t="shared" si="4"/>
        <v>16</v>
      </c>
      <c r="E30" s="954">
        <f t="shared" si="2"/>
        <v>0</v>
      </c>
      <c r="F30" s="967">
        <f t="shared" si="0"/>
        <v>0</v>
      </c>
      <c r="G30" s="961">
        <f t="shared" si="3"/>
        <v>0</v>
      </c>
    </row>
    <row r="31" spans="1:7">
      <c r="A31" s="955">
        <v>27</v>
      </c>
      <c r="B31" s="956">
        <v>30</v>
      </c>
      <c r="C31" s="956">
        <f t="shared" si="1"/>
        <v>0</v>
      </c>
      <c r="D31" s="1390">
        <f t="shared" si="4"/>
        <v>16</v>
      </c>
      <c r="E31" s="956">
        <f t="shared" si="2"/>
        <v>0</v>
      </c>
      <c r="F31" s="968">
        <f t="shared" si="0"/>
        <v>0</v>
      </c>
      <c r="G31" s="962">
        <f t="shared" si="3"/>
        <v>0</v>
      </c>
    </row>
    <row r="32" spans="1:7">
      <c r="A32" s="957">
        <v>28</v>
      </c>
      <c r="B32" s="958">
        <v>31</v>
      </c>
      <c r="C32" s="958">
        <f t="shared" si="1"/>
        <v>0</v>
      </c>
      <c r="D32" s="1390">
        <f t="shared" si="4"/>
        <v>16</v>
      </c>
      <c r="E32" s="958">
        <f t="shared" si="2"/>
        <v>0</v>
      </c>
      <c r="F32" s="969">
        <f t="shared" si="0"/>
        <v>0</v>
      </c>
      <c r="G32" s="961">
        <f t="shared" si="3"/>
        <v>0</v>
      </c>
    </row>
    <row r="33" spans="1:7">
      <c r="A33" s="953">
        <v>29</v>
      </c>
      <c r="B33" s="954">
        <v>31</v>
      </c>
      <c r="C33" s="954">
        <f t="shared" si="1"/>
        <v>0</v>
      </c>
      <c r="D33" s="1390">
        <f t="shared" si="4"/>
        <v>16</v>
      </c>
      <c r="E33" s="954">
        <f t="shared" si="2"/>
        <v>0</v>
      </c>
      <c r="F33" s="967">
        <f t="shared" si="0"/>
        <v>0</v>
      </c>
      <c r="G33" s="961">
        <f t="shared" si="3"/>
        <v>0</v>
      </c>
    </row>
    <row r="34" spans="1:7">
      <c r="A34" s="955">
        <v>30</v>
      </c>
      <c r="B34" s="956">
        <v>30</v>
      </c>
      <c r="C34" s="956">
        <f t="shared" si="1"/>
        <v>0</v>
      </c>
      <c r="D34" s="1390">
        <f t="shared" si="4"/>
        <v>16</v>
      </c>
      <c r="E34" s="956">
        <f t="shared" si="2"/>
        <v>0</v>
      </c>
      <c r="F34" s="968">
        <f t="shared" si="0"/>
        <v>0</v>
      </c>
      <c r="G34" s="962">
        <f t="shared" si="3"/>
        <v>0</v>
      </c>
    </row>
    <row r="35" spans="1:7">
      <c r="A35" s="957">
        <v>31</v>
      </c>
      <c r="B35" s="958">
        <v>31</v>
      </c>
      <c r="C35" s="958">
        <f t="shared" si="1"/>
        <v>0</v>
      </c>
      <c r="D35" s="1390">
        <f t="shared" si="4"/>
        <v>16</v>
      </c>
      <c r="E35" s="958">
        <f t="shared" si="2"/>
        <v>0</v>
      </c>
      <c r="F35" s="969">
        <f t="shared" si="0"/>
        <v>0</v>
      </c>
      <c r="G35" s="961">
        <f t="shared" si="3"/>
        <v>0</v>
      </c>
    </row>
    <row r="36" spans="1:7">
      <c r="A36" s="953">
        <v>32</v>
      </c>
      <c r="B36" s="954">
        <v>30</v>
      </c>
      <c r="C36" s="954">
        <f t="shared" si="1"/>
        <v>0</v>
      </c>
      <c r="D36" s="1390">
        <f t="shared" si="4"/>
        <v>16</v>
      </c>
      <c r="E36" s="954">
        <f t="shared" si="2"/>
        <v>0</v>
      </c>
      <c r="F36" s="967">
        <f t="shared" si="0"/>
        <v>0</v>
      </c>
      <c r="G36" s="961">
        <f t="shared" si="3"/>
        <v>0</v>
      </c>
    </row>
    <row r="37" spans="1:7">
      <c r="A37" s="955">
        <v>33</v>
      </c>
      <c r="B37" s="956">
        <v>31</v>
      </c>
      <c r="C37" s="956">
        <f t="shared" si="1"/>
        <v>0</v>
      </c>
      <c r="D37" s="1390">
        <f t="shared" si="4"/>
        <v>16</v>
      </c>
      <c r="E37" s="956">
        <f t="shared" si="2"/>
        <v>0</v>
      </c>
      <c r="F37" s="968">
        <f t="shared" si="0"/>
        <v>0</v>
      </c>
      <c r="G37" s="962">
        <f t="shared" si="3"/>
        <v>0</v>
      </c>
    </row>
    <row r="38" spans="1:7">
      <c r="A38" s="957">
        <v>34</v>
      </c>
      <c r="B38" s="958">
        <v>31</v>
      </c>
      <c r="C38" s="958">
        <f t="shared" si="1"/>
        <v>0</v>
      </c>
      <c r="D38" s="1390">
        <f t="shared" si="4"/>
        <v>16</v>
      </c>
      <c r="E38" s="958">
        <f t="shared" si="2"/>
        <v>0</v>
      </c>
      <c r="F38" s="969">
        <f t="shared" si="0"/>
        <v>0</v>
      </c>
      <c r="G38" s="961">
        <f t="shared" si="3"/>
        <v>0</v>
      </c>
    </row>
    <row r="39" spans="1:7">
      <c r="A39" s="953">
        <v>35</v>
      </c>
      <c r="B39" s="954">
        <v>29</v>
      </c>
      <c r="C39" s="954">
        <f t="shared" si="1"/>
        <v>0</v>
      </c>
      <c r="D39" s="1390">
        <f t="shared" si="4"/>
        <v>16</v>
      </c>
      <c r="E39" s="954">
        <f t="shared" si="2"/>
        <v>0</v>
      </c>
      <c r="F39" s="967">
        <f t="shared" si="0"/>
        <v>0</v>
      </c>
      <c r="G39" s="961">
        <f t="shared" si="3"/>
        <v>0</v>
      </c>
    </row>
    <row r="40" spans="1:7" ht="16.5" thickBot="1">
      <c r="A40" s="959">
        <v>36</v>
      </c>
      <c r="B40" s="960">
        <v>31</v>
      </c>
      <c r="C40" s="960">
        <f t="shared" si="1"/>
        <v>0</v>
      </c>
      <c r="D40" s="1390">
        <f t="shared" si="4"/>
        <v>16</v>
      </c>
      <c r="E40" s="960">
        <f t="shared" si="2"/>
        <v>0</v>
      </c>
      <c r="F40" s="973">
        <f t="shared" si="0"/>
        <v>0</v>
      </c>
      <c r="G40" s="965">
        <f t="shared" si="3"/>
        <v>0</v>
      </c>
    </row>
    <row r="41" spans="1:7" hidden="1">
      <c r="A41" s="942">
        <v>37</v>
      </c>
      <c r="B41" s="933">
        <v>30</v>
      </c>
      <c r="C41" s="934">
        <v>5</v>
      </c>
      <c r="D41" s="933">
        <f>C40-E40</f>
        <v>0</v>
      </c>
      <c r="E41" s="933"/>
      <c r="F41" s="974">
        <f t="shared" ref="F41:F94" si="5">D41*C41%/365*B41</f>
        <v>0</v>
      </c>
      <c r="G41" s="943"/>
    </row>
    <row r="42" spans="1:7" hidden="1">
      <c r="A42" s="944">
        <v>38</v>
      </c>
      <c r="B42" s="935">
        <v>31</v>
      </c>
      <c r="C42" s="936">
        <v>5</v>
      </c>
      <c r="D42" s="935">
        <f t="shared" ref="D42:D94" si="6">D41-E41</f>
        <v>0</v>
      </c>
      <c r="E42" s="935"/>
      <c r="F42" s="975">
        <f t="shared" si="5"/>
        <v>0</v>
      </c>
      <c r="G42" s="945"/>
    </row>
    <row r="43" spans="1:7" hidden="1">
      <c r="A43" s="944">
        <v>39</v>
      </c>
      <c r="B43" s="935">
        <v>30</v>
      </c>
      <c r="C43" s="936">
        <v>5</v>
      </c>
      <c r="D43" s="935">
        <f t="shared" si="6"/>
        <v>0</v>
      </c>
      <c r="E43" s="935">
        <f>E40</f>
        <v>0</v>
      </c>
      <c r="F43" s="975">
        <f t="shared" si="5"/>
        <v>0</v>
      </c>
      <c r="G43" s="945"/>
    </row>
    <row r="44" spans="1:7" hidden="1">
      <c r="A44" s="944">
        <v>40</v>
      </c>
      <c r="B44" s="935">
        <v>31</v>
      </c>
      <c r="C44" s="936">
        <v>5</v>
      </c>
      <c r="D44" s="935">
        <f t="shared" si="6"/>
        <v>0</v>
      </c>
      <c r="E44" s="935"/>
      <c r="F44" s="975">
        <f t="shared" si="5"/>
        <v>0</v>
      </c>
      <c r="G44" s="945"/>
    </row>
    <row r="45" spans="1:7" hidden="1">
      <c r="A45" s="944">
        <v>41</v>
      </c>
      <c r="B45" s="935">
        <v>31</v>
      </c>
      <c r="C45" s="936">
        <v>5</v>
      </c>
      <c r="D45" s="935">
        <f t="shared" si="6"/>
        <v>0</v>
      </c>
      <c r="E45" s="935"/>
      <c r="F45" s="975">
        <f t="shared" si="5"/>
        <v>0</v>
      </c>
      <c r="G45" s="945"/>
    </row>
    <row r="46" spans="1:7" hidden="1">
      <c r="A46" s="944">
        <v>42</v>
      </c>
      <c r="B46" s="935">
        <v>30</v>
      </c>
      <c r="C46" s="936">
        <v>5</v>
      </c>
      <c r="D46" s="935">
        <f t="shared" si="6"/>
        <v>0</v>
      </c>
      <c r="E46" s="935">
        <f>E43</f>
        <v>0</v>
      </c>
      <c r="F46" s="975">
        <f t="shared" si="5"/>
        <v>0</v>
      </c>
      <c r="G46" s="945"/>
    </row>
    <row r="47" spans="1:7" hidden="1">
      <c r="A47" s="944">
        <v>43</v>
      </c>
      <c r="B47" s="935">
        <v>31</v>
      </c>
      <c r="C47" s="936">
        <v>5</v>
      </c>
      <c r="D47" s="935">
        <f t="shared" si="6"/>
        <v>0</v>
      </c>
      <c r="E47" s="935"/>
      <c r="F47" s="975">
        <f t="shared" si="5"/>
        <v>0</v>
      </c>
      <c r="G47" s="945">
        <f>SUM(E41:E47,F36:F47)</f>
        <v>0</v>
      </c>
    </row>
    <row r="48" spans="1:7" hidden="1">
      <c r="A48" s="946">
        <v>44</v>
      </c>
      <c r="B48" s="936">
        <v>30</v>
      </c>
      <c r="C48" s="936">
        <v>5</v>
      </c>
      <c r="D48" s="936">
        <f t="shared" si="6"/>
        <v>0</v>
      </c>
      <c r="E48" s="936"/>
      <c r="F48" s="976">
        <f t="shared" si="5"/>
        <v>0</v>
      </c>
      <c r="G48" s="947"/>
    </row>
    <row r="49" spans="1:7" hidden="1">
      <c r="A49" s="946">
        <v>45</v>
      </c>
      <c r="B49" s="936">
        <v>31</v>
      </c>
      <c r="C49" s="936">
        <v>5</v>
      </c>
      <c r="D49" s="936">
        <f t="shared" si="6"/>
        <v>0</v>
      </c>
      <c r="E49" s="936">
        <f>E46</f>
        <v>0</v>
      </c>
      <c r="F49" s="976">
        <f t="shared" si="5"/>
        <v>0</v>
      </c>
      <c r="G49" s="947"/>
    </row>
    <row r="50" spans="1:7" hidden="1">
      <c r="A50" s="946">
        <v>46</v>
      </c>
      <c r="B50" s="936">
        <v>31</v>
      </c>
      <c r="C50" s="936">
        <v>5</v>
      </c>
      <c r="D50" s="936">
        <f t="shared" si="6"/>
        <v>0</v>
      </c>
      <c r="E50" s="936"/>
      <c r="F50" s="976">
        <f t="shared" si="5"/>
        <v>0</v>
      </c>
      <c r="G50" s="947"/>
    </row>
    <row r="51" spans="1:7" hidden="1">
      <c r="A51" s="946">
        <v>47</v>
      </c>
      <c r="B51" s="936">
        <v>28</v>
      </c>
      <c r="C51" s="936">
        <v>5</v>
      </c>
      <c r="D51" s="936">
        <f t="shared" si="6"/>
        <v>0</v>
      </c>
      <c r="E51" s="936"/>
      <c r="F51" s="976">
        <f t="shared" si="5"/>
        <v>0</v>
      </c>
      <c r="G51" s="947"/>
    </row>
    <row r="52" spans="1:7" hidden="1">
      <c r="A52" s="946">
        <v>48</v>
      </c>
      <c r="B52" s="936">
        <v>31</v>
      </c>
      <c r="C52" s="936">
        <v>5</v>
      </c>
      <c r="D52" s="936">
        <f t="shared" si="6"/>
        <v>0</v>
      </c>
      <c r="E52" s="936">
        <f>E49</f>
        <v>0</v>
      </c>
      <c r="F52" s="976">
        <f t="shared" si="5"/>
        <v>0</v>
      </c>
      <c r="G52" s="947"/>
    </row>
    <row r="53" spans="1:7" hidden="1">
      <c r="A53" s="946">
        <v>49</v>
      </c>
      <c r="B53" s="936">
        <v>30</v>
      </c>
      <c r="C53" s="936">
        <v>5</v>
      </c>
      <c r="D53" s="936">
        <f t="shared" si="6"/>
        <v>0</v>
      </c>
      <c r="E53" s="936"/>
      <c r="F53" s="976">
        <f t="shared" si="5"/>
        <v>0</v>
      </c>
      <c r="G53" s="947"/>
    </row>
    <row r="54" spans="1:7" hidden="1">
      <c r="A54" s="946">
        <v>50</v>
      </c>
      <c r="B54" s="936">
        <v>31</v>
      </c>
      <c r="C54" s="936">
        <v>5</v>
      </c>
      <c r="D54" s="936">
        <f t="shared" si="6"/>
        <v>0</v>
      </c>
      <c r="E54" s="936"/>
      <c r="F54" s="976">
        <f t="shared" si="5"/>
        <v>0</v>
      </c>
      <c r="G54" s="947"/>
    </row>
    <row r="55" spans="1:7" hidden="1">
      <c r="A55" s="946">
        <v>51</v>
      </c>
      <c r="B55" s="936">
        <v>30</v>
      </c>
      <c r="C55" s="936">
        <v>5</v>
      </c>
      <c r="D55" s="936">
        <f t="shared" si="6"/>
        <v>0</v>
      </c>
      <c r="E55" s="936">
        <f>E52</f>
        <v>0</v>
      </c>
      <c r="F55" s="976">
        <f t="shared" si="5"/>
        <v>0</v>
      </c>
      <c r="G55" s="947"/>
    </row>
    <row r="56" spans="1:7" hidden="1">
      <c r="A56" s="946">
        <v>52</v>
      </c>
      <c r="B56" s="936">
        <v>31</v>
      </c>
      <c r="C56" s="936">
        <v>5</v>
      </c>
      <c r="D56" s="936">
        <f t="shared" si="6"/>
        <v>0</v>
      </c>
      <c r="E56" s="936"/>
      <c r="F56" s="976">
        <f t="shared" si="5"/>
        <v>0</v>
      </c>
      <c r="G56" s="947"/>
    </row>
    <row r="57" spans="1:7" hidden="1">
      <c r="A57" s="946">
        <v>53</v>
      </c>
      <c r="B57" s="936">
        <v>31</v>
      </c>
      <c r="C57" s="936">
        <v>5</v>
      </c>
      <c r="D57" s="936">
        <f t="shared" si="6"/>
        <v>0</v>
      </c>
      <c r="E57" s="936"/>
      <c r="F57" s="976">
        <f t="shared" si="5"/>
        <v>0</v>
      </c>
      <c r="G57" s="947"/>
    </row>
    <row r="58" spans="1:7" hidden="1">
      <c r="A58" s="946">
        <v>54</v>
      </c>
      <c r="B58" s="936">
        <v>30</v>
      </c>
      <c r="C58" s="936">
        <v>5</v>
      </c>
      <c r="D58" s="936">
        <f t="shared" si="6"/>
        <v>0</v>
      </c>
      <c r="E58" s="936">
        <f>E55</f>
        <v>0</v>
      </c>
      <c r="F58" s="976">
        <f t="shared" si="5"/>
        <v>0</v>
      </c>
      <c r="G58" s="947"/>
    </row>
    <row r="59" spans="1:7" hidden="1">
      <c r="A59" s="946">
        <v>55</v>
      </c>
      <c r="B59" s="936">
        <v>31</v>
      </c>
      <c r="C59" s="936">
        <v>5</v>
      </c>
      <c r="D59" s="936">
        <f t="shared" si="6"/>
        <v>0</v>
      </c>
      <c r="E59" s="936"/>
      <c r="F59" s="976">
        <f t="shared" si="5"/>
        <v>0</v>
      </c>
      <c r="G59" s="947">
        <f>SUM(E48:E59,F48:F59)</f>
        <v>0</v>
      </c>
    </row>
    <row r="60" spans="1:7" hidden="1">
      <c r="A60" s="944">
        <v>56</v>
      </c>
      <c r="B60" s="935">
        <v>30</v>
      </c>
      <c r="C60" s="936">
        <v>5</v>
      </c>
      <c r="D60" s="935">
        <f t="shared" si="6"/>
        <v>0</v>
      </c>
      <c r="E60" s="935"/>
      <c r="F60" s="975">
        <f t="shared" si="5"/>
        <v>0</v>
      </c>
      <c r="G60" s="945"/>
    </row>
    <row r="61" spans="1:7" hidden="1">
      <c r="A61" s="944">
        <v>57</v>
      </c>
      <c r="B61" s="935">
        <v>31</v>
      </c>
      <c r="C61" s="936">
        <v>5</v>
      </c>
      <c r="D61" s="935">
        <f t="shared" si="6"/>
        <v>0</v>
      </c>
      <c r="E61" s="935">
        <f>E58</f>
        <v>0</v>
      </c>
      <c r="F61" s="975">
        <f t="shared" si="5"/>
        <v>0</v>
      </c>
      <c r="G61" s="945"/>
    </row>
    <row r="62" spans="1:7" hidden="1">
      <c r="A62" s="944">
        <v>58</v>
      </c>
      <c r="B62" s="935">
        <v>31</v>
      </c>
      <c r="C62" s="936">
        <v>5</v>
      </c>
      <c r="D62" s="935">
        <f t="shared" si="6"/>
        <v>0</v>
      </c>
      <c r="E62" s="935"/>
      <c r="F62" s="975">
        <f t="shared" si="5"/>
        <v>0</v>
      </c>
      <c r="G62" s="945"/>
    </row>
    <row r="63" spans="1:7" hidden="1">
      <c r="A63" s="944">
        <v>59</v>
      </c>
      <c r="B63" s="935">
        <v>28</v>
      </c>
      <c r="C63" s="936">
        <v>5</v>
      </c>
      <c r="D63" s="935">
        <f t="shared" si="6"/>
        <v>0</v>
      </c>
      <c r="E63" s="935"/>
      <c r="F63" s="975">
        <f t="shared" si="5"/>
        <v>0</v>
      </c>
      <c r="G63" s="945"/>
    </row>
    <row r="64" spans="1:7" hidden="1">
      <c r="A64" s="944">
        <v>60</v>
      </c>
      <c r="B64" s="935">
        <v>31</v>
      </c>
      <c r="C64" s="936">
        <v>5</v>
      </c>
      <c r="D64" s="935">
        <f t="shared" si="6"/>
        <v>0</v>
      </c>
      <c r="E64" s="935">
        <f>E61</f>
        <v>0</v>
      </c>
      <c r="F64" s="975">
        <f t="shared" si="5"/>
        <v>0</v>
      </c>
      <c r="G64" s="945"/>
    </row>
    <row r="65" spans="1:7" hidden="1">
      <c r="A65" s="944">
        <v>61</v>
      </c>
      <c r="B65" s="935">
        <v>30</v>
      </c>
      <c r="C65" s="936">
        <v>5</v>
      </c>
      <c r="D65" s="935">
        <f t="shared" si="6"/>
        <v>0</v>
      </c>
      <c r="E65" s="935"/>
      <c r="F65" s="975">
        <f t="shared" si="5"/>
        <v>0</v>
      </c>
      <c r="G65" s="945"/>
    </row>
    <row r="66" spans="1:7" hidden="1">
      <c r="A66" s="944">
        <v>62</v>
      </c>
      <c r="B66" s="935">
        <v>31</v>
      </c>
      <c r="C66" s="936">
        <v>5</v>
      </c>
      <c r="D66" s="935">
        <f t="shared" si="6"/>
        <v>0</v>
      </c>
      <c r="E66" s="935"/>
      <c r="F66" s="975">
        <f t="shared" si="5"/>
        <v>0</v>
      </c>
      <c r="G66" s="945"/>
    </row>
    <row r="67" spans="1:7" hidden="1">
      <c r="A67" s="944">
        <v>63</v>
      </c>
      <c r="B67" s="935">
        <v>30</v>
      </c>
      <c r="C67" s="936">
        <v>5</v>
      </c>
      <c r="D67" s="935">
        <f t="shared" si="6"/>
        <v>0</v>
      </c>
      <c r="E67" s="935">
        <f>E64</f>
        <v>0</v>
      </c>
      <c r="F67" s="975">
        <f t="shared" si="5"/>
        <v>0</v>
      </c>
      <c r="G67" s="945"/>
    </row>
    <row r="68" spans="1:7" hidden="1">
      <c r="A68" s="944">
        <v>64</v>
      </c>
      <c r="B68" s="935">
        <v>31</v>
      </c>
      <c r="C68" s="936">
        <v>5</v>
      </c>
      <c r="D68" s="935">
        <f t="shared" si="6"/>
        <v>0</v>
      </c>
      <c r="E68" s="935"/>
      <c r="F68" s="975">
        <f t="shared" si="5"/>
        <v>0</v>
      </c>
      <c r="G68" s="945"/>
    </row>
    <row r="69" spans="1:7" ht="10.5" hidden="1" customHeight="1">
      <c r="A69" s="944">
        <v>65</v>
      </c>
      <c r="B69" s="935">
        <v>31</v>
      </c>
      <c r="C69" s="936">
        <v>5</v>
      </c>
      <c r="D69" s="935">
        <f t="shared" si="6"/>
        <v>0</v>
      </c>
      <c r="E69" s="935"/>
      <c r="F69" s="975">
        <f t="shared" si="5"/>
        <v>0</v>
      </c>
      <c r="G69" s="945"/>
    </row>
    <row r="70" spans="1:7" hidden="1">
      <c r="A70" s="944">
        <v>66</v>
      </c>
      <c r="B70" s="935">
        <v>30</v>
      </c>
      <c r="C70" s="936">
        <v>5</v>
      </c>
      <c r="D70" s="935">
        <f t="shared" si="6"/>
        <v>0</v>
      </c>
      <c r="E70" s="935">
        <f>E67</f>
        <v>0</v>
      </c>
      <c r="F70" s="975">
        <f t="shared" si="5"/>
        <v>0</v>
      </c>
      <c r="G70" s="945"/>
    </row>
    <row r="71" spans="1:7" hidden="1">
      <c r="A71" s="944">
        <v>67</v>
      </c>
      <c r="B71" s="935">
        <v>31</v>
      </c>
      <c r="C71" s="936">
        <v>5</v>
      </c>
      <c r="D71" s="935">
        <f t="shared" si="6"/>
        <v>0</v>
      </c>
      <c r="E71" s="935"/>
      <c r="F71" s="975">
        <f t="shared" si="5"/>
        <v>0</v>
      </c>
      <c r="G71" s="945">
        <f>SUM(E60:E71,F60:F71)</f>
        <v>0</v>
      </c>
    </row>
    <row r="72" spans="1:7" hidden="1">
      <c r="A72" s="946">
        <v>68</v>
      </c>
      <c r="B72" s="936">
        <v>30</v>
      </c>
      <c r="C72" s="936">
        <v>5</v>
      </c>
      <c r="D72" s="936">
        <f t="shared" si="6"/>
        <v>0</v>
      </c>
      <c r="E72" s="936"/>
      <c r="F72" s="976">
        <f t="shared" si="5"/>
        <v>0</v>
      </c>
      <c r="G72" s="947"/>
    </row>
    <row r="73" spans="1:7" hidden="1">
      <c r="A73" s="946">
        <v>69</v>
      </c>
      <c r="B73" s="936">
        <v>31</v>
      </c>
      <c r="C73" s="936">
        <v>5</v>
      </c>
      <c r="D73" s="936">
        <f t="shared" si="6"/>
        <v>0</v>
      </c>
      <c r="E73" s="936">
        <f>E70</f>
        <v>0</v>
      </c>
      <c r="F73" s="976">
        <f t="shared" si="5"/>
        <v>0</v>
      </c>
      <c r="G73" s="947"/>
    </row>
    <row r="74" spans="1:7" hidden="1">
      <c r="A74" s="946">
        <v>70</v>
      </c>
      <c r="B74" s="936">
        <v>31</v>
      </c>
      <c r="C74" s="936">
        <v>5</v>
      </c>
      <c r="D74" s="936">
        <f t="shared" si="6"/>
        <v>0</v>
      </c>
      <c r="E74" s="936"/>
      <c r="F74" s="976">
        <f t="shared" si="5"/>
        <v>0</v>
      </c>
      <c r="G74" s="947"/>
    </row>
    <row r="75" spans="1:7" hidden="1">
      <c r="A75" s="946">
        <v>71</v>
      </c>
      <c r="B75" s="936">
        <v>28</v>
      </c>
      <c r="C75" s="936">
        <v>5</v>
      </c>
      <c r="D75" s="936">
        <f t="shared" si="6"/>
        <v>0</v>
      </c>
      <c r="E75" s="936"/>
      <c r="F75" s="976">
        <f t="shared" si="5"/>
        <v>0</v>
      </c>
      <c r="G75" s="947"/>
    </row>
    <row r="76" spans="1:7" hidden="1">
      <c r="A76" s="946">
        <v>72</v>
      </c>
      <c r="B76" s="936">
        <v>31</v>
      </c>
      <c r="C76" s="936">
        <v>5</v>
      </c>
      <c r="D76" s="936">
        <f t="shared" si="6"/>
        <v>0</v>
      </c>
      <c r="E76" s="936">
        <f>E73</f>
        <v>0</v>
      </c>
      <c r="F76" s="976">
        <f t="shared" si="5"/>
        <v>0</v>
      </c>
      <c r="G76" s="947"/>
    </row>
    <row r="77" spans="1:7" hidden="1">
      <c r="A77" s="946">
        <v>73</v>
      </c>
      <c r="B77" s="936">
        <v>30</v>
      </c>
      <c r="C77" s="936">
        <v>5</v>
      </c>
      <c r="D77" s="936">
        <f t="shared" si="6"/>
        <v>0</v>
      </c>
      <c r="E77" s="936"/>
      <c r="F77" s="976">
        <f t="shared" si="5"/>
        <v>0</v>
      </c>
      <c r="G77" s="947"/>
    </row>
    <row r="78" spans="1:7" hidden="1">
      <c r="A78" s="946">
        <v>74</v>
      </c>
      <c r="B78" s="936">
        <v>31</v>
      </c>
      <c r="C78" s="936">
        <v>5</v>
      </c>
      <c r="D78" s="936">
        <f t="shared" si="6"/>
        <v>0</v>
      </c>
      <c r="E78" s="936"/>
      <c r="F78" s="976">
        <f t="shared" si="5"/>
        <v>0</v>
      </c>
      <c r="G78" s="947"/>
    </row>
    <row r="79" spans="1:7" hidden="1">
      <c r="A79" s="946">
        <v>75</v>
      </c>
      <c r="B79" s="936">
        <v>30</v>
      </c>
      <c r="C79" s="936">
        <v>5</v>
      </c>
      <c r="D79" s="936">
        <f t="shared" si="6"/>
        <v>0</v>
      </c>
      <c r="E79" s="936">
        <f>E76</f>
        <v>0</v>
      </c>
      <c r="F79" s="976">
        <f t="shared" si="5"/>
        <v>0</v>
      </c>
      <c r="G79" s="947"/>
    </row>
    <row r="80" spans="1:7" hidden="1">
      <c r="A80" s="946">
        <v>76</v>
      </c>
      <c r="B80" s="936">
        <v>31</v>
      </c>
      <c r="C80" s="936">
        <v>5</v>
      </c>
      <c r="D80" s="936">
        <f t="shared" si="6"/>
        <v>0</v>
      </c>
      <c r="E80" s="936"/>
      <c r="F80" s="976">
        <f t="shared" si="5"/>
        <v>0</v>
      </c>
      <c r="G80" s="947"/>
    </row>
    <row r="81" spans="1:7" hidden="1">
      <c r="A81" s="946">
        <v>77</v>
      </c>
      <c r="B81" s="936">
        <v>31</v>
      </c>
      <c r="C81" s="936">
        <v>5</v>
      </c>
      <c r="D81" s="936">
        <f t="shared" si="6"/>
        <v>0</v>
      </c>
      <c r="E81" s="936"/>
      <c r="F81" s="976">
        <f t="shared" si="5"/>
        <v>0</v>
      </c>
      <c r="G81" s="947"/>
    </row>
    <row r="82" spans="1:7" hidden="1">
      <c r="A82" s="946">
        <v>78</v>
      </c>
      <c r="B82" s="936">
        <v>30</v>
      </c>
      <c r="C82" s="936">
        <v>5</v>
      </c>
      <c r="D82" s="936">
        <f t="shared" si="6"/>
        <v>0</v>
      </c>
      <c r="E82" s="936">
        <f>E79</f>
        <v>0</v>
      </c>
      <c r="F82" s="976">
        <f t="shared" si="5"/>
        <v>0</v>
      </c>
      <c r="G82" s="947"/>
    </row>
    <row r="83" spans="1:7" hidden="1">
      <c r="A83" s="946">
        <v>79</v>
      </c>
      <c r="B83" s="936">
        <v>31</v>
      </c>
      <c r="C83" s="936">
        <v>5</v>
      </c>
      <c r="D83" s="936">
        <f t="shared" si="6"/>
        <v>0</v>
      </c>
      <c r="E83" s="936"/>
      <c r="F83" s="976">
        <f t="shared" si="5"/>
        <v>0</v>
      </c>
      <c r="G83" s="947">
        <f>SUM(E72:E83,F72:F83)</f>
        <v>0</v>
      </c>
    </row>
    <row r="84" spans="1:7" hidden="1">
      <c r="A84" s="944">
        <v>80</v>
      </c>
      <c r="B84" s="935">
        <v>30</v>
      </c>
      <c r="C84" s="936">
        <v>5</v>
      </c>
      <c r="D84" s="935">
        <f t="shared" si="6"/>
        <v>0</v>
      </c>
      <c r="E84" s="935"/>
      <c r="F84" s="975">
        <f t="shared" si="5"/>
        <v>0</v>
      </c>
      <c r="G84" s="945"/>
    </row>
    <row r="85" spans="1:7" hidden="1">
      <c r="A85" s="944">
        <v>81</v>
      </c>
      <c r="B85" s="935">
        <v>31</v>
      </c>
      <c r="C85" s="936">
        <v>5</v>
      </c>
      <c r="D85" s="935">
        <f t="shared" si="6"/>
        <v>0</v>
      </c>
      <c r="E85" s="935">
        <f>E82</f>
        <v>0</v>
      </c>
      <c r="F85" s="975">
        <f t="shared" si="5"/>
        <v>0</v>
      </c>
      <c r="G85" s="945"/>
    </row>
    <row r="86" spans="1:7" hidden="1">
      <c r="A86" s="944">
        <v>82</v>
      </c>
      <c r="B86" s="935">
        <v>31</v>
      </c>
      <c r="C86" s="936">
        <v>5</v>
      </c>
      <c r="D86" s="935">
        <f t="shared" si="6"/>
        <v>0</v>
      </c>
      <c r="E86" s="935"/>
      <c r="F86" s="975">
        <f t="shared" si="5"/>
        <v>0</v>
      </c>
      <c r="G86" s="945"/>
    </row>
    <row r="87" spans="1:7" hidden="1">
      <c r="A87" s="944">
        <v>83</v>
      </c>
      <c r="B87" s="935">
        <v>29</v>
      </c>
      <c r="C87" s="936">
        <v>5</v>
      </c>
      <c r="D87" s="935">
        <f t="shared" si="6"/>
        <v>0</v>
      </c>
      <c r="E87" s="935"/>
      <c r="F87" s="975">
        <f t="shared" si="5"/>
        <v>0</v>
      </c>
      <c r="G87" s="945"/>
    </row>
    <row r="88" spans="1:7" hidden="1">
      <c r="A88" s="944">
        <v>84</v>
      </c>
      <c r="B88" s="935">
        <v>31</v>
      </c>
      <c r="C88" s="936">
        <v>5</v>
      </c>
      <c r="D88" s="935">
        <f t="shared" si="6"/>
        <v>0</v>
      </c>
      <c r="E88" s="935">
        <f>E85</f>
        <v>0</v>
      </c>
      <c r="F88" s="975">
        <f t="shared" si="5"/>
        <v>0</v>
      </c>
      <c r="G88" s="945"/>
    </row>
    <row r="89" spans="1:7" hidden="1">
      <c r="A89" s="944">
        <v>85</v>
      </c>
      <c r="B89" s="935">
        <v>30</v>
      </c>
      <c r="C89" s="936">
        <v>5</v>
      </c>
      <c r="D89" s="935">
        <f t="shared" si="6"/>
        <v>0</v>
      </c>
      <c r="E89" s="935"/>
      <c r="F89" s="975">
        <f t="shared" si="5"/>
        <v>0</v>
      </c>
      <c r="G89" s="945"/>
    </row>
    <row r="90" spans="1:7" hidden="1">
      <c r="A90" s="944">
        <v>86</v>
      </c>
      <c r="B90" s="935">
        <v>31</v>
      </c>
      <c r="C90" s="936">
        <v>5</v>
      </c>
      <c r="D90" s="935">
        <f t="shared" si="6"/>
        <v>0</v>
      </c>
      <c r="E90" s="935"/>
      <c r="F90" s="975">
        <f t="shared" si="5"/>
        <v>0</v>
      </c>
      <c r="G90" s="945"/>
    </row>
    <row r="91" spans="1:7" hidden="1">
      <c r="A91" s="944">
        <v>87</v>
      </c>
      <c r="B91" s="935">
        <v>30</v>
      </c>
      <c r="C91" s="936">
        <v>5</v>
      </c>
      <c r="D91" s="935">
        <f t="shared" si="6"/>
        <v>0</v>
      </c>
      <c r="E91" s="935">
        <f>E88</f>
        <v>0</v>
      </c>
      <c r="F91" s="975">
        <f t="shared" si="5"/>
        <v>0</v>
      </c>
      <c r="G91" s="945"/>
    </row>
    <row r="92" spans="1:7" hidden="1">
      <c r="A92" s="944">
        <v>88</v>
      </c>
      <c r="B92" s="935">
        <v>31</v>
      </c>
      <c r="C92" s="936">
        <v>5</v>
      </c>
      <c r="D92" s="935">
        <f t="shared" si="6"/>
        <v>0</v>
      </c>
      <c r="E92" s="935"/>
      <c r="F92" s="975">
        <f t="shared" si="5"/>
        <v>0</v>
      </c>
      <c r="G92" s="945"/>
    </row>
    <row r="93" spans="1:7" hidden="1">
      <c r="A93" s="944">
        <v>89</v>
      </c>
      <c r="B93" s="935">
        <v>31</v>
      </c>
      <c r="C93" s="936">
        <v>5</v>
      </c>
      <c r="D93" s="935">
        <f t="shared" si="6"/>
        <v>0</v>
      </c>
      <c r="E93" s="935"/>
      <c r="F93" s="975">
        <f t="shared" si="5"/>
        <v>0</v>
      </c>
      <c r="G93" s="945"/>
    </row>
    <row r="94" spans="1:7" hidden="1">
      <c r="A94" s="944">
        <v>90</v>
      </c>
      <c r="B94" s="935">
        <v>30</v>
      </c>
      <c r="C94" s="936">
        <v>5</v>
      </c>
      <c r="D94" s="935">
        <f t="shared" si="6"/>
        <v>0</v>
      </c>
      <c r="E94" s="935">
        <f>E91</f>
        <v>0</v>
      </c>
      <c r="F94" s="975">
        <f t="shared" si="5"/>
        <v>0</v>
      </c>
      <c r="G94" s="945">
        <f>SUM(E84:E94,F84:F94)</f>
        <v>0</v>
      </c>
    </row>
    <row r="95" spans="1:7" hidden="1">
      <c r="A95" s="944"/>
      <c r="B95" s="937">
        <f>SUM(B5:B94)</f>
        <v>2740</v>
      </c>
      <c r="C95" s="938"/>
      <c r="D95" s="938"/>
      <c r="E95" s="937">
        <f>SUM(E41:E94)</f>
        <v>0</v>
      </c>
      <c r="F95" s="977">
        <f>SUM(F5:F94)</f>
        <v>0</v>
      </c>
      <c r="G95" s="945">
        <f>SUM(G5:G94)</f>
        <v>0</v>
      </c>
    </row>
    <row r="96" spans="1:7" ht="16.5" thickBot="1">
      <c r="A96" s="2332" t="s">
        <v>467</v>
      </c>
      <c r="B96" s="2333"/>
      <c r="C96" s="2333"/>
      <c r="D96" s="2334"/>
      <c r="E96" s="978">
        <f>SUM(E5:E40)</f>
        <v>0</v>
      </c>
      <c r="F96" s="979">
        <f>SUM(F5:F40)</f>
        <v>0</v>
      </c>
      <c r="G96" s="980">
        <f>SUM(G5:G40)</f>
        <v>0</v>
      </c>
    </row>
    <row r="97" ht="16.5" thickTop="1"/>
  </sheetData>
  <mergeCells count="2">
    <mergeCell ref="A2:G2"/>
    <mergeCell ref="A96:D96"/>
  </mergeCells>
  <printOptions horizontalCentered="1"/>
  <pageMargins left="0.15748031496062992" right="0.15748031496062992" top="0.15748031496062992" bottom="0.15748031496062992"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18"/>
  <sheetViews>
    <sheetView workbookViewId="0">
      <selection activeCell="H31" sqref="H31"/>
    </sheetView>
  </sheetViews>
  <sheetFormatPr defaultRowHeight="12.75"/>
  <cols>
    <col min="1" max="1" width="6.5703125" customWidth="1"/>
    <col min="2" max="2" width="21" customWidth="1"/>
    <col min="3" max="4" width="13.140625" customWidth="1"/>
    <col min="5" max="5" width="14.85546875" customWidth="1"/>
    <col min="6" max="8" width="13.140625" customWidth="1"/>
  </cols>
  <sheetData>
    <row r="1" spans="1:8" ht="23.25" customHeight="1">
      <c r="A1" s="2343" t="s">
        <v>490</v>
      </c>
      <c r="B1" s="2335" t="s">
        <v>491</v>
      </c>
      <c r="C1" s="2335" t="s">
        <v>525</v>
      </c>
      <c r="D1" s="2335" t="s">
        <v>496</v>
      </c>
      <c r="E1" s="2335" t="s">
        <v>495</v>
      </c>
      <c r="F1" s="2335" t="s">
        <v>492</v>
      </c>
      <c r="G1" s="2335"/>
      <c r="H1" s="2337"/>
    </row>
    <row r="2" spans="1:8" ht="50.25" customHeight="1" thickBot="1">
      <c r="A2" s="2344"/>
      <c r="B2" s="2336"/>
      <c r="C2" s="2336"/>
      <c r="D2" s="2336"/>
      <c r="E2" s="2336"/>
      <c r="F2" s="1161" t="s">
        <v>497</v>
      </c>
      <c r="G2" s="1161" t="s">
        <v>498</v>
      </c>
      <c r="H2" s="1162" t="s">
        <v>499</v>
      </c>
    </row>
    <row r="3" spans="1:8" ht="15">
      <c r="A3" s="2338">
        <v>2019</v>
      </c>
      <c r="B3" s="1172" t="s">
        <v>526</v>
      </c>
      <c r="C3" s="1173" t="s">
        <v>528</v>
      </c>
      <c r="D3" s="1173" t="e">
        <f>+ПрСбытПрП!#REF!</f>
        <v>#REF!</v>
      </c>
      <c r="E3" s="1183" t="e">
        <f>+ПрСбытПрП!#REF!</f>
        <v>#REF!</v>
      </c>
      <c r="F3" s="1183" t="e">
        <f>+ПрСбытПрП!#REF!</f>
        <v>#REF!</v>
      </c>
      <c r="G3" s="1173" t="e">
        <f>+ПрСбытПрП!#REF!</f>
        <v>#REF!</v>
      </c>
      <c r="H3" s="1188" t="e">
        <f>+ПрСбытПрП!#REF!</f>
        <v>#REF!</v>
      </c>
    </row>
    <row r="4" spans="1:8" ht="15">
      <c r="A4" s="2339"/>
      <c r="B4" s="1174" t="s">
        <v>529</v>
      </c>
      <c r="C4" s="1175" t="s">
        <v>528</v>
      </c>
      <c r="D4" s="1176">
        <f>+ПрСбытПрП!C7</f>
        <v>0</v>
      </c>
      <c r="E4" s="1184" t="e">
        <f>+ПрСбытПрП!#REF!+ПрСбытПрП!#REF!</f>
        <v>#REF!</v>
      </c>
      <c r="F4" s="1184" t="e">
        <f>+E4</f>
        <v>#REF!</v>
      </c>
      <c r="G4" s="1176">
        <f>+ПрСбытПрП!C7</f>
        <v>0</v>
      </c>
      <c r="H4" s="1189" t="e">
        <f>+ПрСбытПрП!#REF!</f>
        <v>#REF!</v>
      </c>
    </row>
    <row r="5" spans="1:8" ht="15">
      <c r="A5" s="2340"/>
      <c r="B5" s="1177" t="s">
        <v>530</v>
      </c>
      <c r="C5" s="1178" t="s">
        <v>528</v>
      </c>
      <c r="D5" s="1179" t="e">
        <f>+ПрСбытПрП!#REF!</f>
        <v>#REF!</v>
      </c>
      <c r="E5" s="1185" t="e">
        <f>+ПрСбытПрП!#REF!</f>
        <v>#REF!</v>
      </c>
      <c r="F5" s="1184" t="e">
        <f>+E5</f>
        <v>#REF!</v>
      </c>
      <c r="G5" s="1179" t="e">
        <f>+ПрСбытПрП!#REF!</f>
        <v>#REF!</v>
      </c>
      <c r="H5" s="1190" t="e">
        <f>+ПрСбытПрП!#REF!</f>
        <v>#REF!</v>
      </c>
    </row>
    <row r="6" spans="1:8" ht="15">
      <c r="A6" s="2341">
        <v>2020</v>
      </c>
      <c r="B6" s="1180" t="s">
        <v>526</v>
      </c>
      <c r="C6" s="1181" t="s">
        <v>528</v>
      </c>
      <c r="D6" s="1181" t="e">
        <f>+ПрСбытПрП!#REF!</f>
        <v>#REF!</v>
      </c>
      <c r="E6" s="1186" t="e">
        <f>+ПрСбытПрП!#REF!</f>
        <v>#REF!</v>
      </c>
      <c r="F6" s="1186" t="e">
        <f>+ПрСбытПрП!#REF!</f>
        <v>#REF!</v>
      </c>
      <c r="G6" s="1181" t="e">
        <f>+ПрСбытПрП!#REF!</f>
        <v>#REF!</v>
      </c>
      <c r="H6" s="1191" t="e">
        <f>+ПрСбытПрП!#REF!</f>
        <v>#REF!</v>
      </c>
    </row>
    <row r="7" spans="1:8" ht="15">
      <c r="A7" s="2339"/>
      <c r="B7" s="1174" t="s">
        <v>527</v>
      </c>
      <c r="C7" s="1175" t="s">
        <v>528</v>
      </c>
      <c r="D7" s="1176">
        <f>+ПрСбытПрП!D7</f>
        <v>0</v>
      </c>
      <c r="E7" s="1184" t="e">
        <f>+ПрСбытПрП!#REF!+ПрСбытПрП!#REF!</f>
        <v>#REF!</v>
      </c>
      <c r="F7" s="1184" t="e">
        <f>+E7</f>
        <v>#REF!</v>
      </c>
      <c r="G7" s="1176">
        <f>+ПрСбытПрП!D7</f>
        <v>0</v>
      </c>
      <c r="H7" s="1189" t="e">
        <f>+ПрСбытПрП!#REF!</f>
        <v>#REF!</v>
      </c>
    </row>
    <row r="8" spans="1:8" ht="15">
      <c r="A8" s="2340"/>
      <c r="B8" s="1177" t="s">
        <v>530</v>
      </c>
      <c r="C8" s="1178" t="s">
        <v>528</v>
      </c>
      <c r="D8" s="1179" t="e">
        <f>+ПрСбытПрП!#REF!</f>
        <v>#REF!</v>
      </c>
      <c r="E8" s="1185" t="e">
        <f>+ПрСбытПрП!#REF!</f>
        <v>#REF!</v>
      </c>
      <c r="F8" s="1185" t="e">
        <f>+E8</f>
        <v>#REF!</v>
      </c>
      <c r="G8" s="1179" t="e">
        <f>+ПрСбытПрП!#REF!</f>
        <v>#REF!</v>
      </c>
      <c r="H8" s="1190" t="e">
        <f>+ПрСбытПрП!#REF!</f>
        <v>#REF!</v>
      </c>
    </row>
    <row r="9" spans="1:8" ht="15">
      <c r="A9" s="2341">
        <v>2021</v>
      </c>
      <c r="B9" s="1180" t="s">
        <v>526</v>
      </c>
      <c r="C9" s="1181" t="s">
        <v>528</v>
      </c>
      <c r="D9" s="1181" t="e">
        <f>+ПрСбытПрП!#REF!</f>
        <v>#REF!</v>
      </c>
      <c r="E9" s="1186" t="e">
        <f>+ПрСбытПрП!#REF!</f>
        <v>#REF!</v>
      </c>
      <c r="F9" s="1186" t="e">
        <f>+ПрСбытПрП!#REF!</f>
        <v>#REF!</v>
      </c>
      <c r="G9" s="1181" t="e">
        <f>+ПрСбытПрП!#REF!</f>
        <v>#REF!</v>
      </c>
      <c r="H9" s="1191" t="e">
        <f>+ПрСбытПрП!#REF!</f>
        <v>#REF!</v>
      </c>
    </row>
    <row r="10" spans="1:8" ht="15">
      <c r="A10" s="2339"/>
      <c r="B10" s="1174" t="s">
        <v>527</v>
      </c>
      <c r="C10" s="1175" t="s">
        <v>528</v>
      </c>
      <c r="D10" s="1176">
        <f>+ПрСбытПрП!E7</f>
        <v>0</v>
      </c>
      <c r="E10" s="1184" t="e">
        <f>+ПрСбытПрП!#REF!+ПрСбытПрП!#REF!</f>
        <v>#REF!</v>
      </c>
      <c r="F10" s="1184" t="e">
        <f>+E10</f>
        <v>#REF!</v>
      </c>
      <c r="G10" s="1176">
        <f>+ПрСбытПрП!E7</f>
        <v>0</v>
      </c>
      <c r="H10" s="1189" t="e">
        <f>+ПрСбытПрП!#REF!</f>
        <v>#REF!</v>
      </c>
    </row>
    <row r="11" spans="1:8" ht="15">
      <c r="A11" s="2340"/>
      <c r="B11" s="1177" t="s">
        <v>530</v>
      </c>
      <c r="C11" s="1178" t="s">
        <v>528</v>
      </c>
      <c r="D11" s="1179" t="e">
        <f>+ПрСбытПрП!#REF!</f>
        <v>#REF!</v>
      </c>
      <c r="E11" s="1185" t="e">
        <f>+ПрСбытПрП!#REF!</f>
        <v>#REF!</v>
      </c>
      <c r="F11" s="1185" t="e">
        <f>+E11</f>
        <v>#REF!</v>
      </c>
      <c r="G11" s="1179" t="e">
        <f>+ПрСбытПрП!#REF!</f>
        <v>#REF!</v>
      </c>
      <c r="H11" s="1190" t="e">
        <f>+ПрСбытПрП!#REF!</f>
        <v>#REF!</v>
      </c>
    </row>
    <row r="12" spans="1:8" ht="15">
      <c r="A12" s="2341">
        <v>2022</v>
      </c>
      <c r="B12" s="1180" t="s">
        <v>526</v>
      </c>
      <c r="C12" s="1181" t="s">
        <v>528</v>
      </c>
      <c r="D12" s="1181" t="e">
        <f>+ПрСбытПрП!#REF!</f>
        <v>#REF!</v>
      </c>
      <c r="E12" s="1186" t="e">
        <f>+ПрСбытПрП!#REF!</f>
        <v>#REF!</v>
      </c>
      <c r="F12" s="1186" t="e">
        <f>+ПрСбытПрП!#REF!</f>
        <v>#REF!</v>
      </c>
      <c r="G12" s="1181" t="e">
        <f>+ПрСбытПрП!#REF!</f>
        <v>#REF!</v>
      </c>
      <c r="H12" s="1191" t="e">
        <f>+ПрСбытПрП!#REF!</f>
        <v>#REF!</v>
      </c>
    </row>
    <row r="13" spans="1:8" ht="15">
      <c r="A13" s="2339"/>
      <c r="B13" s="1174" t="s">
        <v>527</v>
      </c>
      <c r="C13" s="1175" t="s">
        <v>528</v>
      </c>
      <c r="D13" s="1176">
        <f>+ПрСбытПрП!F7</f>
        <v>0</v>
      </c>
      <c r="E13" s="1184" t="e">
        <f>+ПрСбытПрП!#REF!+ПрСбытПрП!#REF!</f>
        <v>#REF!</v>
      </c>
      <c r="F13" s="1184" t="e">
        <f>+E13</f>
        <v>#REF!</v>
      </c>
      <c r="G13" s="1176">
        <f>+ПрСбытПрП!F7</f>
        <v>0</v>
      </c>
      <c r="H13" s="1189" t="e">
        <f>+ПрСбытПрП!#REF!</f>
        <v>#REF!</v>
      </c>
    </row>
    <row r="14" spans="1:8" ht="15">
      <c r="A14" s="2340"/>
      <c r="B14" s="1177" t="s">
        <v>530</v>
      </c>
      <c r="C14" s="1178" t="s">
        <v>528</v>
      </c>
      <c r="D14" s="1179" t="e">
        <f>+ПрСбытПрП!#REF!</f>
        <v>#REF!</v>
      </c>
      <c r="E14" s="1185" t="e">
        <f>+ПрСбытПрП!#REF!</f>
        <v>#REF!</v>
      </c>
      <c r="F14" s="1185" t="e">
        <f>+E14</f>
        <v>#REF!</v>
      </c>
      <c r="G14" s="1179" t="e">
        <f>+ПрСбытПрП!#REF!</f>
        <v>#REF!</v>
      </c>
      <c r="H14" s="1190" t="e">
        <f>+ПрСбытПрП!#REF!</f>
        <v>#REF!</v>
      </c>
    </row>
    <row r="15" spans="1:8" ht="15">
      <c r="A15" s="2341">
        <v>2023</v>
      </c>
      <c r="B15" s="1180" t="s">
        <v>526</v>
      </c>
      <c r="C15" s="1181" t="s">
        <v>528</v>
      </c>
      <c r="D15" s="1181" t="e">
        <f>+ПрСбытПрП!#REF!</f>
        <v>#REF!</v>
      </c>
      <c r="E15" s="1186" t="e">
        <f>+ПрСбытПрП!#REF!</f>
        <v>#REF!</v>
      </c>
      <c r="F15" s="1186" t="e">
        <f>+ПрСбытПрП!#REF!</f>
        <v>#REF!</v>
      </c>
      <c r="G15" s="1181" t="e">
        <f>+ПрСбытПрП!#REF!</f>
        <v>#REF!</v>
      </c>
      <c r="H15" s="1191" t="e">
        <f>+ПрСбытПрП!#REF!</f>
        <v>#REF!</v>
      </c>
    </row>
    <row r="16" spans="1:8" ht="15">
      <c r="A16" s="2339"/>
      <c r="B16" s="1174" t="s">
        <v>527</v>
      </c>
      <c r="C16" s="1175" t="s">
        <v>528</v>
      </c>
      <c r="D16" s="1176">
        <f>+ПрСбытПрП!G7</f>
        <v>0</v>
      </c>
      <c r="E16" s="1184" t="e">
        <f>+ПрСбытПрП!#REF!+ПрСбытПрП!#REF!</f>
        <v>#REF!</v>
      </c>
      <c r="F16" s="1184" t="e">
        <f>+E16</f>
        <v>#REF!</v>
      </c>
      <c r="G16" s="1176">
        <f>+ПрСбытПрП!G7</f>
        <v>0</v>
      </c>
      <c r="H16" s="1189" t="e">
        <f>+ПрСбытПрП!#REF!</f>
        <v>#REF!</v>
      </c>
    </row>
    <row r="17" spans="1:8" ht="15.75" thickBot="1">
      <c r="A17" s="2342"/>
      <c r="B17" s="1177" t="s">
        <v>530</v>
      </c>
      <c r="C17" s="1178" t="s">
        <v>528</v>
      </c>
      <c r="D17" s="1182" t="e">
        <f>+ПрСбытПрП!#REF!</f>
        <v>#REF!</v>
      </c>
      <c r="E17" s="1187" t="e">
        <f>+ПрСбытПрП!#REF!</f>
        <v>#REF!</v>
      </c>
      <c r="F17" s="1187" t="e">
        <f>+E17</f>
        <v>#REF!</v>
      </c>
      <c r="G17" s="1182" t="e">
        <f>+ПрСбытПрП!#REF!</f>
        <v>#REF!</v>
      </c>
      <c r="H17" s="1192" t="e">
        <f>+ПрСбытПрП!#REF!</f>
        <v>#REF!</v>
      </c>
    </row>
    <row r="18" spans="1:8" ht="15" thickBot="1">
      <c r="A18" s="1164"/>
      <c r="B18" s="1165" t="s">
        <v>163</v>
      </c>
      <c r="C18" s="1166"/>
      <c r="D18" s="1167" t="s">
        <v>493</v>
      </c>
      <c r="E18" s="1167" t="s">
        <v>493</v>
      </c>
      <c r="F18" s="1167" t="s">
        <v>493</v>
      </c>
      <c r="G18" s="1166" t="s">
        <v>494</v>
      </c>
      <c r="H18" s="1193" t="e">
        <f>SUM(H3:H17)</f>
        <v>#REF!</v>
      </c>
    </row>
  </sheetData>
  <mergeCells count="11">
    <mergeCell ref="D1:D2"/>
    <mergeCell ref="E1:E2"/>
    <mergeCell ref="F1:H1"/>
    <mergeCell ref="A3:A5"/>
    <mergeCell ref="A15:A17"/>
    <mergeCell ref="A12:A14"/>
    <mergeCell ref="A9:A11"/>
    <mergeCell ref="A6:A8"/>
    <mergeCell ref="A1:A2"/>
    <mergeCell ref="B1:B2"/>
    <mergeCell ref="C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K5"/>
  <sheetViews>
    <sheetView workbookViewId="0">
      <selection activeCell="K34" sqref="K34"/>
    </sheetView>
  </sheetViews>
  <sheetFormatPr defaultRowHeight="12.75"/>
  <cols>
    <col min="1" max="1" width="4.85546875" customWidth="1"/>
    <col min="2" max="2" width="39" customWidth="1"/>
    <col min="3" max="11" width="8.42578125" customWidth="1"/>
  </cols>
  <sheetData>
    <row r="1" spans="1:11" ht="23.25" customHeight="1">
      <c r="A1" s="2347" t="s">
        <v>381</v>
      </c>
      <c r="B1" s="2349"/>
      <c r="C1" s="2351" t="s">
        <v>83</v>
      </c>
      <c r="D1" s="2353" t="s">
        <v>500</v>
      </c>
      <c r="E1" s="2353"/>
      <c r="F1" s="2353"/>
      <c r="G1" s="2353"/>
      <c r="H1" s="2351">
        <v>2020</v>
      </c>
      <c r="I1" s="2351">
        <v>2021</v>
      </c>
      <c r="J1" s="2351">
        <v>2022</v>
      </c>
      <c r="K1" s="2345">
        <v>2023</v>
      </c>
    </row>
    <row r="2" spans="1:11" ht="23.25" customHeight="1" thickBot="1">
      <c r="A2" s="2348"/>
      <c r="B2" s="2350"/>
      <c r="C2" s="2352"/>
      <c r="D2" s="838">
        <v>1</v>
      </c>
      <c r="E2" s="838">
        <v>2</v>
      </c>
      <c r="F2" s="838">
        <v>3</v>
      </c>
      <c r="G2" s="838">
        <v>4</v>
      </c>
      <c r="H2" s="2352"/>
      <c r="I2" s="2352"/>
      <c r="J2" s="2352"/>
      <c r="K2" s="2346"/>
    </row>
    <row r="3" spans="1:11" ht="23.25" customHeight="1">
      <c r="A3" s="1202">
        <v>1</v>
      </c>
      <c r="B3" s="1201" t="s">
        <v>501</v>
      </c>
      <c r="C3" s="1453" t="e">
        <f>+C4+C5</f>
        <v>#REF!</v>
      </c>
      <c r="D3" s="1454" t="e">
        <f>+D4+D5</f>
        <v>#REF!</v>
      </c>
      <c r="E3" s="1454" t="e">
        <f t="shared" ref="E3:K3" si="0">+E4+E5</f>
        <v>#REF!</v>
      </c>
      <c r="F3" s="1454" t="e">
        <f t="shared" si="0"/>
        <v>#REF!</v>
      </c>
      <c r="G3" s="1454" t="e">
        <f t="shared" si="0"/>
        <v>#REF!</v>
      </c>
      <c r="H3" s="1453">
        <f t="shared" si="0"/>
        <v>0</v>
      </c>
      <c r="I3" s="1453">
        <f t="shared" si="0"/>
        <v>0</v>
      </c>
      <c r="J3" s="1453">
        <f t="shared" si="0"/>
        <v>0</v>
      </c>
      <c r="K3" s="1455">
        <f t="shared" si="0"/>
        <v>0</v>
      </c>
    </row>
    <row r="4" spans="1:11" ht="23.25" customHeight="1">
      <c r="A4" s="1196">
        <v>2</v>
      </c>
      <c r="B4" s="1159" t="s">
        <v>502</v>
      </c>
      <c r="C4" s="1456" t="e">
        <f>SUM(D4:G4)</f>
        <v>#REF!</v>
      </c>
      <c r="D4" s="1176" t="e">
        <f>+'24.Финрез'!E7</f>
        <v>#REF!</v>
      </c>
      <c r="E4" s="1176" t="e">
        <f>+'24.Финрез'!F7</f>
        <v>#REF!</v>
      </c>
      <c r="F4" s="1176" t="e">
        <f>+'24.Финрез'!G7</f>
        <v>#REF!</v>
      </c>
      <c r="G4" s="1176" t="e">
        <f>+'24.Финрез'!H7</f>
        <v>#REF!</v>
      </c>
      <c r="H4" s="1456">
        <f>+'24.Финрез'!I7</f>
        <v>0</v>
      </c>
      <c r="I4" s="1456">
        <f>+'24.Финрез'!J7</f>
        <v>0</v>
      </c>
      <c r="J4" s="1456">
        <f>+'24.Финрез'!K7</f>
        <v>0</v>
      </c>
      <c r="K4" s="1457">
        <f>+'24.Финрез'!L7</f>
        <v>0</v>
      </c>
    </row>
    <row r="5" spans="1:11" ht="32.25" thickBot="1">
      <c r="A5" s="1197">
        <v>3</v>
      </c>
      <c r="B5" s="1198" t="s">
        <v>503</v>
      </c>
      <c r="C5" s="1199">
        <f>SUM(D5:G5)</f>
        <v>0</v>
      </c>
      <c r="D5" s="1203"/>
      <c r="E5" s="1203"/>
      <c r="F5" s="1203"/>
      <c r="G5" s="1203"/>
      <c r="H5" s="1199"/>
      <c r="I5" s="1199"/>
      <c r="J5" s="1199"/>
      <c r="K5" s="1200"/>
    </row>
  </sheetData>
  <mergeCells count="8">
    <mergeCell ref="K1:K2"/>
    <mergeCell ref="A1:A2"/>
    <mergeCell ref="B1:B2"/>
    <mergeCell ref="C1:C2"/>
    <mergeCell ref="D1:G1"/>
    <mergeCell ref="H1:H2"/>
    <mergeCell ref="I1:I2"/>
    <mergeCell ref="J1:J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10"/>
  <sheetViews>
    <sheetView workbookViewId="0">
      <selection activeCell="F20" sqref="F20"/>
    </sheetView>
  </sheetViews>
  <sheetFormatPr defaultRowHeight="12.75"/>
  <cols>
    <col min="1" max="5" width="23.140625" customWidth="1"/>
  </cols>
  <sheetData>
    <row r="1" spans="1:5" ht="48" thickBot="1">
      <c r="A1" s="1206" t="s">
        <v>504</v>
      </c>
      <c r="B1" s="1207" t="s">
        <v>505</v>
      </c>
      <c r="C1" s="1207" t="s">
        <v>506</v>
      </c>
      <c r="D1" s="1207" t="s">
        <v>507</v>
      </c>
      <c r="E1" s="1208" t="s">
        <v>508</v>
      </c>
    </row>
    <row r="2" spans="1:5" ht="24" customHeight="1">
      <c r="A2" s="1205" t="str">
        <f>+'22.ФОТ'!B6</f>
        <v>Коневод (осн.стадо)</v>
      </c>
      <c r="B2" s="1088" t="e">
        <f>+'22.ФОТ'!D6</f>
        <v>#REF!</v>
      </c>
      <c r="C2" s="1088" t="e">
        <f>+'22.ФОТ'!F6</f>
        <v>#REF!</v>
      </c>
      <c r="D2" s="1088" t="e">
        <f>+C2*'22.ФОТ'!C$34%</f>
        <v>#REF!</v>
      </c>
      <c r="E2" s="1458" t="e">
        <f>+C2+D2</f>
        <v>#REF!</v>
      </c>
    </row>
    <row r="3" spans="1:5" ht="24" customHeight="1">
      <c r="A3" s="1204" t="str">
        <f>+'22.ФОТ'!B7</f>
        <v>Коневод(молодняк)</v>
      </c>
      <c r="B3" s="142" t="e">
        <f>+'22.ФОТ'!D7</f>
        <v>#REF!</v>
      </c>
      <c r="C3" s="142" t="e">
        <f>+'22.ФОТ'!F7</f>
        <v>#REF!</v>
      </c>
      <c r="D3" s="142" t="e">
        <f>+C3*'22.ФОТ'!C$34%</f>
        <v>#REF!</v>
      </c>
      <c r="E3" s="1459" t="e">
        <f t="shared" ref="E3:E6" si="0">+C3+D3</f>
        <v>#REF!</v>
      </c>
    </row>
    <row r="4" spans="1:5" ht="24" customHeight="1">
      <c r="A4" s="1204" t="str">
        <f>+'22.ФОТ'!B8</f>
        <v>Тракторист</v>
      </c>
      <c r="B4" s="142">
        <f>+'22.ФОТ'!D8</f>
        <v>1</v>
      </c>
      <c r="C4" s="142">
        <f>+'22.ФОТ'!F8</f>
        <v>29000</v>
      </c>
      <c r="D4" s="142">
        <f>+C4*'22.ФОТ'!C$34%</f>
        <v>8700</v>
      </c>
      <c r="E4" s="1459">
        <f t="shared" si="0"/>
        <v>37700</v>
      </c>
    </row>
    <row r="5" spans="1:5" ht="24" customHeight="1">
      <c r="A5" s="1204">
        <f>+'22.ФОТ'!B9</f>
        <v>0</v>
      </c>
      <c r="B5" s="142">
        <f>+'22.ФОТ'!D9</f>
        <v>0</v>
      </c>
      <c r="C5" s="1031">
        <f>+'22.ФОТ'!F9</f>
        <v>0</v>
      </c>
      <c r="D5" s="1031">
        <f>+C5*'22.ФОТ'!C$34%</f>
        <v>0</v>
      </c>
      <c r="E5" s="1214">
        <f t="shared" si="0"/>
        <v>0</v>
      </c>
    </row>
    <row r="6" spans="1:5" ht="24" customHeight="1">
      <c r="A6" s="1204">
        <f>+'22.ФОТ'!B10</f>
        <v>0</v>
      </c>
      <c r="B6" s="142">
        <f>+'22.ФОТ'!D10</f>
        <v>0</v>
      </c>
      <c r="C6" s="1031">
        <f>+'22.ФОТ'!F10</f>
        <v>0</v>
      </c>
      <c r="D6" s="1031">
        <f>+C6*'22.ФОТ'!C$34%</f>
        <v>0</v>
      </c>
      <c r="E6" s="1214">
        <f t="shared" si="0"/>
        <v>0</v>
      </c>
    </row>
    <row r="7" spans="1:5" ht="24" customHeight="1">
      <c r="A7" s="1204"/>
      <c r="B7" s="1158"/>
      <c r="C7" s="1158"/>
      <c r="D7" s="1158"/>
      <c r="E7" s="1215"/>
    </row>
    <row r="8" spans="1:5" ht="24" customHeight="1">
      <c r="A8" s="1204"/>
      <c r="B8" s="1158"/>
      <c r="C8" s="1158"/>
      <c r="D8" s="1158"/>
      <c r="E8" s="1215"/>
    </row>
    <row r="9" spans="1:5" ht="24" customHeight="1" thickBot="1">
      <c r="A9" s="1209"/>
      <c r="B9" s="1210"/>
      <c r="C9" s="1210"/>
      <c r="D9" s="1210"/>
      <c r="E9" s="1216"/>
    </row>
    <row r="10" spans="1:5" ht="16.5" thickBot="1">
      <c r="A10" s="1211" t="s">
        <v>83</v>
      </c>
      <c r="B10" s="1212" t="e">
        <f>SUM(B2:B9)</f>
        <v>#REF!</v>
      </c>
      <c r="C10" s="1212" t="e">
        <f t="shared" ref="C10:E10" si="1">SUM(C2:C9)</f>
        <v>#REF!</v>
      </c>
      <c r="D10" s="1212" t="e">
        <f t="shared" si="1"/>
        <v>#REF!</v>
      </c>
      <c r="E10" s="1213" t="e">
        <f t="shared" si="1"/>
        <v>#REF!</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K32"/>
  <sheetViews>
    <sheetView topLeftCell="A7" workbookViewId="0">
      <selection activeCell="H37" sqref="H37"/>
    </sheetView>
  </sheetViews>
  <sheetFormatPr defaultRowHeight="12.75"/>
  <cols>
    <col min="1" max="1" width="6.140625" customWidth="1"/>
    <col min="2" max="2" width="33.140625" customWidth="1"/>
    <col min="3" max="3" width="11.5703125" bestFit="1" customWidth="1"/>
    <col min="4" max="7" width="9.28515625" bestFit="1" customWidth="1"/>
    <col min="8" max="11" width="9.5703125" bestFit="1" customWidth="1"/>
  </cols>
  <sheetData>
    <row r="1" spans="1:11" ht="26.25" customHeight="1">
      <c r="A1" s="2347" t="s">
        <v>381</v>
      </c>
      <c r="B1" s="2351" t="s">
        <v>509</v>
      </c>
      <c r="C1" s="2351" t="s">
        <v>517</v>
      </c>
      <c r="D1" s="2351" t="s">
        <v>500</v>
      </c>
      <c r="E1" s="2351"/>
      <c r="F1" s="2351"/>
      <c r="G1" s="2351"/>
      <c r="H1" s="2351">
        <v>2020</v>
      </c>
      <c r="I1" s="2351">
        <v>2021</v>
      </c>
      <c r="J1" s="2351">
        <v>2022</v>
      </c>
      <c r="K1" s="2345">
        <v>2023</v>
      </c>
    </row>
    <row r="2" spans="1:11" ht="26.25" customHeight="1" thickBot="1">
      <c r="A2" s="2348"/>
      <c r="B2" s="2352"/>
      <c r="C2" s="2352"/>
      <c r="D2" s="1236">
        <v>1</v>
      </c>
      <c r="E2" s="1236">
        <v>2</v>
      </c>
      <c r="F2" s="1236">
        <v>3</v>
      </c>
      <c r="G2" s="1236">
        <v>4</v>
      </c>
      <c r="H2" s="2352"/>
      <c r="I2" s="2352"/>
      <c r="J2" s="2352"/>
      <c r="K2" s="2346"/>
    </row>
    <row r="3" spans="1:11" ht="45">
      <c r="A3" s="1256">
        <v>1</v>
      </c>
      <c r="B3" s="1257" t="s">
        <v>510</v>
      </c>
      <c r="C3" s="1258">
        <f>SUM(D3:G3)</f>
        <v>120</v>
      </c>
      <c r="D3" s="1241">
        <f>D5+D6+D7+D10+D13</f>
        <v>24</v>
      </c>
      <c r="E3" s="1241">
        <f t="shared" ref="E3:K3" si="0">E5+E6+E7+E10+E13</f>
        <v>14.399999999999999</v>
      </c>
      <c r="F3" s="1241">
        <f t="shared" si="0"/>
        <v>54</v>
      </c>
      <c r="G3" s="1241">
        <f t="shared" si="0"/>
        <v>27.6</v>
      </c>
      <c r="H3" s="1259">
        <f t="shared" si="0"/>
        <v>138</v>
      </c>
      <c r="I3" s="1259">
        <f t="shared" si="0"/>
        <v>158.69999999999999</v>
      </c>
      <c r="J3" s="1259">
        <f t="shared" si="0"/>
        <v>182.50499999999997</v>
      </c>
      <c r="K3" s="1260">
        <f t="shared" si="0"/>
        <v>209.88074999999995</v>
      </c>
    </row>
    <row r="4" spans="1:11" ht="15">
      <c r="A4" s="1163"/>
      <c r="B4" s="1233" t="s">
        <v>160</v>
      </c>
      <c r="C4" s="1170" t="s">
        <v>221</v>
      </c>
      <c r="D4" s="1184" t="s">
        <v>221</v>
      </c>
      <c r="E4" s="1184" t="s">
        <v>221</v>
      </c>
      <c r="F4" s="1184" t="s">
        <v>221</v>
      </c>
      <c r="G4" s="1184" t="s">
        <v>221</v>
      </c>
      <c r="H4" s="1220" t="s">
        <v>221</v>
      </c>
      <c r="I4" s="1220" t="s">
        <v>221</v>
      </c>
      <c r="J4" s="1220" t="s">
        <v>221</v>
      </c>
      <c r="K4" s="1240" t="s">
        <v>221</v>
      </c>
    </row>
    <row r="5" spans="1:11" ht="15.75">
      <c r="A5" s="1168"/>
      <c r="B5" s="1157" t="s">
        <v>368</v>
      </c>
      <c r="C5" s="1195">
        <f>SUM(D5:G5)</f>
        <v>0</v>
      </c>
      <c r="D5" s="1237">
        <f>+'28.ПЛАН о Фин.сост'!D21*0.38</f>
        <v>0</v>
      </c>
      <c r="E5" s="1237">
        <f>+'28.ПЛАН о Фин.сост'!D21*0.27</f>
        <v>0</v>
      </c>
      <c r="F5" s="1237">
        <f>+'28.ПЛАН о Фин.сост'!D21*0.1</f>
        <v>0</v>
      </c>
      <c r="G5" s="1237">
        <f>+'28.ПЛАН о Фин.сост'!D21*0.25</f>
        <v>0</v>
      </c>
      <c r="H5" s="1194">
        <f>+'28.ПЛАН о Фин.сост'!E21</f>
        <v>0</v>
      </c>
      <c r="I5" s="1194">
        <f>+'28.ПЛАН о Фин.сост'!F21</f>
        <v>0</v>
      </c>
      <c r="J5" s="1194">
        <f>+'28.ПЛАН о Фин.сост'!G21</f>
        <v>0</v>
      </c>
      <c r="K5" s="1231">
        <f>+'28.ПЛАН о Фин.сост'!H21</f>
        <v>0</v>
      </c>
    </row>
    <row r="6" spans="1:11" ht="15.75">
      <c r="A6" s="1169"/>
      <c r="B6" s="1250"/>
      <c r="C6" s="1171">
        <f t="shared" ref="C6:C28" si="1">SUM(D6:G6)</f>
        <v>0</v>
      </c>
      <c r="D6" s="1237"/>
      <c r="E6" s="1237"/>
      <c r="F6" s="1237"/>
      <c r="G6" s="1237"/>
      <c r="H6" s="1251"/>
      <c r="I6" s="1251"/>
      <c r="J6" s="1251"/>
      <c r="K6" s="1252"/>
    </row>
    <row r="7" spans="1:11" ht="15.75">
      <c r="A7" s="1242" t="s">
        <v>116</v>
      </c>
      <c r="B7" s="1243" t="s">
        <v>511</v>
      </c>
      <c r="C7" s="1244">
        <f t="shared" si="1"/>
        <v>0</v>
      </c>
      <c r="D7" s="1245">
        <f t="shared" ref="D7:K7" si="2">SUM(D8:D9)</f>
        <v>0</v>
      </c>
      <c r="E7" s="1245">
        <f t="shared" si="2"/>
        <v>0</v>
      </c>
      <c r="F7" s="1245">
        <f t="shared" si="2"/>
        <v>0</v>
      </c>
      <c r="G7" s="1245">
        <f t="shared" si="2"/>
        <v>0</v>
      </c>
      <c r="H7" s="1246">
        <f t="shared" si="2"/>
        <v>0</v>
      </c>
      <c r="I7" s="1246">
        <f t="shared" si="2"/>
        <v>0</v>
      </c>
      <c r="J7" s="1246">
        <f t="shared" si="2"/>
        <v>0</v>
      </c>
      <c r="K7" s="1247">
        <f t="shared" si="2"/>
        <v>0</v>
      </c>
    </row>
    <row r="8" spans="1:11" ht="15.75">
      <c r="A8" s="1163"/>
      <c r="B8" s="1233"/>
      <c r="C8" s="1170">
        <f t="shared" si="1"/>
        <v>0</v>
      </c>
      <c r="D8" s="1237"/>
      <c r="E8" s="1237"/>
      <c r="F8" s="1237"/>
      <c r="G8" s="1237"/>
      <c r="H8" s="1234"/>
      <c r="I8" s="1234"/>
      <c r="J8" s="1234"/>
      <c r="K8" s="1235"/>
    </row>
    <row r="9" spans="1:11" ht="15.75">
      <c r="A9" s="1169"/>
      <c r="B9" s="1250"/>
      <c r="C9" s="1171">
        <f t="shared" si="1"/>
        <v>0</v>
      </c>
      <c r="D9" s="1237"/>
      <c r="E9" s="1237"/>
      <c r="F9" s="1237"/>
      <c r="G9" s="1237"/>
      <c r="H9" s="1251"/>
      <c r="I9" s="1251"/>
      <c r="J9" s="1251"/>
      <c r="K9" s="1252"/>
    </row>
    <row r="10" spans="1:11" ht="15.75">
      <c r="A10" s="1248" t="s">
        <v>360</v>
      </c>
      <c r="B10" s="1243" t="s">
        <v>512</v>
      </c>
      <c r="C10" s="1244">
        <f t="shared" si="1"/>
        <v>0</v>
      </c>
      <c r="D10" s="1245">
        <f t="shared" ref="D10:K10" si="3">SUM(D11:D12)</f>
        <v>0</v>
      </c>
      <c r="E10" s="1245">
        <f t="shared" si="3"/>
        <v>0</v>
      </c>
      <c r="F10" s="1245">
        <f t="shared" si="3"/>
        <v>0</v>
      </c>
      <c r="G10" s="1245">
        <f t="shared" si="3"/>
        <v>0</v>
      </c>
      <c r="H10" s="1246">
        <f t="shared" si="3"/>
        <v>0</v>
      </c>
      <c r="I10" s="1246">
        <f t="shared" si="3"/>
        <v>0</v>
      </c>
      <c r="J10" s="1246">
        <f t="shared" si="3"/>
        <v>0</v>
      </c>
      <c r="K10" s="1247">
        <f t="shared" si="3"/>
        <v>0</v>
      </c>
    </row>
    <row r="11" spans="1:11" ht="15.75">
      <c r="A11" s="1163"/>
      <c r="B11" s="1233"/>
      <c r="C11" s="1170">
        <f t="shared" si="1"/>
        <v>0</v>
      </c>
      <c r="D11" s="1237"/>
      <c r="E11" s="1237"/>
      <c r="F11" s="1237"/>
      <c r="G11" s="1237"/>
      <c r="H11" s="1234"/>
      <c r="I11" s="1234"/>
      <c r="J11" s="1234"/>
      <c r="K11" s="1235"/>
    </row>
    <row r="12" spans="1:11" ht="15.75">
      <c r="A12" s="1169"/>
      <c r="B12" s="1250"/>
      <c r="C12" s="1171">
        <f t="shared" si="1"/>
        <v>0</v>
      </c>
      <c r="D12" s="1237"/>
      <c r="E12" s="1237"/>
      <c r="F12" s="1237"/>
      <c r="G12" s="1237"/>
      <c r="H12" s="1251"/>
      <c r="I12" s="1251"/>
      <c r="J12" s="1251"/>
      <c r="K12" s="1252"/>
    </row>
    <row r="13" spans="1:11" ht="15.75">
      <c r="A13" s="1248" t="s">
        <v>361</v>
      </c>
      <c r="B13" s="1243" t="s">
        <v>513</v>
      </c>
      <c r="C13" s="1244">
        <f t="shared" si="1"/>
        <v>120</v>
      </c>
      <c r="D13" s="1245">
        <f>+'28.ПЛАН о Фин.сост'!D23*0.2</f>
        <v>24</v>
      </c>
      <c r="E13" s="1245">
        <f>+'28.ПЛАН о Фин.сост'!D23*0.12</f>
        <v>14.399999999999999</v>
      </c>
      <c r="F13" s="1245">
        <f>+'28.ПЛАН о Фин.сост'!D23*0.45</f>
        <v>54</v>
      </c>
      <c r="G13" s="1245">
        <f>+'28.ПЛАН о Фин.сост'!D23*0.23</f>
        <v>27.6</v>
      </c>
      <c r="H13" s="1246">
        <f>+'28.ПЛАН о Фин.сост'!E23</f>
        <v>138</v>
      </c>
      <c r="I13" s="1246">
        <f>+'28.ПЛАН о Фин.сост'!F23</f>
        <v>158.69999999999999</v>
      </c>
      <c r="J13" s="1246">
        <f>+'28.ПЛАН о Фин.сост'!G23</f>
        <v>182.50499999999997</v>
      </c>
      <c r="K13" s="1247">
        <f>+'28.ПЛАН о Фин.сост'!H23</f>
        <v>209.88074999999995</v>
      </c>
    </row>
    <row r="14" spans="1:11" ht="15.75">
      <c r="A14" s="1163"/>
      <c r="B14" s="1233" t="s">
        <v>514</v>
      </c>
      <c r="C14" s="1170">
        <f t="shared" si="1"/>
        <v>0</v>
      </c>
      <c r="D14" s="1237"/>
      <c r="E14" s="1237"/>
      <c r="F14" s="1237"/>
      <c r="G14" s="1237"/>
      <c r="H14" s="1234"/>
      <c r="I14" s="1234"/>
      <c r="J14" s="1234"/>
      <c r="K14" s="1235"/>
    </row>
    <row r="15" spans="1:11" ht="15.75">
      <c r="A15" s="1168"/>
      <c r="B15" s="1157" t="s">
        <v>417</v>
      </c>
      <c r="C15" s="1156">
        <f t="shared" si="1"/>
        <v>0</v>
      </c>
      <c r="D15" s="1237"/>
      <c r="E15" s="1237"/>
      <c r="F15" s="1237"/>
      <c r="G15" s="1237"/>
      <c r="H15" s="1194"/>
      <c r="I15" s="1194"/>
      <c r="J15" s="1194"/>
      <c r="K15" s="1231"/>
    </row>
    <row r="16" spans="1:11" ht="30">
      <c r="A16" s="1168">
        <v>2</v>
      </c>
      <c r="B16" s="1157" t="s">
        <v>515</v>
      </c>
      <c r="C16" s="1195" t="e">
        <f t="shared" si="1"/>
        <v>#REF!</v>
      </c>
      <c r="D16" s="1237" t="e">
        <f>+'22.ФОТ'!H17*0.12</f>
        <v>#REF!</v>
      </c>
      <c r="E16" s="1237" t="e">
        <f>+'22.ФОТ'!H17*0.18</f>
        <v>#REF!</v>
      </c>
      <c r="F16" s="1237" t="e">
        <f>+'22.ФОТ'!H17*0.48</f>
        <v>#REF!</v>
      </c>
      <c r="G16" s="1237" t="e">
        <f>+'22.ФОТ'!H17*0.22</f>
        <v>#REF!</v>
      </c>
      <c r="H16" s="1194">
        <f>+'22.ФОТ'!N17</f>
        <v>1386.528</v>
      </c>
      <c r="I16" s="1194" t="e">
        <f>+'22.ФОТ'!T17</f>
        <v>#REF!</v>
      </c>
      <c r="J16" s="1194" t="e">
        <f>+'22.ФОТ'!Z17</f>
        <v>#REF!</v>
      </c>
      <c r="K16" s="1231" t="e">
        <f>+'22.ФОТ'!AF17</f>
        <v>#REF!</v>
      </c>
    </row>
    <row r="17" spans="1:11" ht="15.75">
      <c r="A17" s="1168">
        <v>3</v>
      </c>
      <c r="B17" s="1157" t="s">
        <v>421</v>
      </c>
      <c r="C17" s="1156">
        <f t="shared" si="1"/>
        <v>0</v>
      </c>
      <c r="D17" s="1237"/>
      <c r="E17" s="1237"/>
      <c r="F17" s="1237"/>
      <c r="G17" s="1237"/>
      <c r="H17" s="1194"/>
      <c r="I17" s="1194"/>
      <c r="J17" s="1194"/>
      <c r="K17" s="1231"/>
    </row>
    <row r="18" spans="1:11" ht="30">
      <c r="A18" s="1168">
        <v>4</v>
      </c>
      <c r="B18" s="1157" t="s">
        <v>531</v>
      </c>
      <c r="C18" s="1195">
        <f t="shared" si="1"/>
        <v>110</v>
      </c>
      <c r="D18" s="1237">
        <f>+('28.ПЛАН о Фин.сост'!D24+'28.ПЛАН о Фин.сост'!D26)*0.37</f>
        <v>40.700000000000003</v>
      </c>
      <c r="E18" s="1237">
        <f>+('28.ПЛАН о Фин.сост'!D24+'28.ПЛАН о Фин.сост'!D26)*0.21</f>
        <v>23.099999999999998</v>
      </c>
      <c r="F18" s="1237">
        <f>+('28.ПЛАН о Фин.сост'!D24+'28.ПЛАН о Фин.сост'!D26)*0.12</f>
        <v>13.2</v>
      </c>
      <c r="G18" s="1237">
        <f>+('28.ПЛАН о Фин.сост'!D24+'28.ПЛАН о Фин.сост'!D26)*0.3</f>
        <v>33</v>
      </c>
      <c r="H18" s="1194">
        <f>+'28.ПЛАН о Фин.сост'!E24+'28.ПЛАН о Фин.сост'!E26</f>
        <v>182</v>
      </c>
      <c r="I18" s="1194">
        <f>+'28.ПЛАН о Фин.сост'!F24+'28.ПЛАН о Фин.сост'!F26</f>
        <v>227.5</v>
      </c>
      <c r="J18" s="1194">
        <f>+'28.ПЛАН о Фин.сост'!G24+'28.ПЛАН о Фин.сост'!G26</f>
        <v>284.375</v>
      </c>
      <c r="K18" s="1231">
        <f>+'28.ПЛАН о Фин.сост'!H24+'28.ПЛАН о Фин.сост'!H26</f>
        <v>355.46875</v>
      </c>
    </row>
    <row r="19" spans="1:11" ht="15.75">
      <c r="A19" s="1168">
        <v>5</v>
      </c>
      <c r="B19" s="1157" t="s">
        <v>90</v>
      </c>
      <c r="C19" s="1156">
        <f t="shared" si="1"/>
        <v>0</v>
      </c>
      <c r="D19" s="1237"/>
      <c r="E19" s="1237"/>
      <c r="F19" s="1237"/>
      <c r="G19" s="1237"/>
      <c r="H19" s="1194"/>
      <c r="I19" s="1194"/>
      <c r="J19" s="1194"/>
      <c r="K19" s="1231"/>
    </row>
    <row r="20" spans="1:11" ht="15.75">
      <c r="A20" s="1169">
        <v>6</v>
      </c>
      <c r="B20" s="1250" t="s">
        <v>324</v>
      </c>
      <c r="C20" s="1239" t="e">
        <f t="shared" si="1"/>
        <v>#REF!</v>
      </c>
      <c r="D20" s="1237"/>
      <c r="E20" s="1237"/>
      <c r="F20" s="1237"/>
      <c r="G20" s="1237" t="e">
        <f>+'28.ПЛАН о Фин.сост'!D35</f>
        <v>#REF!</v>
      </c>
      <c r="H20" s="1251" t="e">
        <f>+'28.ПЛАН о Фин.сост'!E35</f>
        <v>#REF!</v>
      </c>
      <c r="I20" s="1251" t="e">
        <f>+'28.ПЛАН о Фин.сост'!F35</f>
        <v>#REF!</v>
      </c>
      <c r="J20" s="1251" t="e">
        <f>+'28.ПЛАН о Фин.сост'!G35</f>
        <v>#REF!</v>
      </c>
      <c r="K20" s="1252" t="e">
        <f>+'28.ПЛАН о Фин.сост'!H35</f>
        <v>#REF!</v>
      </c>
    </row>
    <row r="21" spans="1:11" ht="15" customHeight="1">
      <c r="A21" s="1248">
        <v>7</v>
      </c>
      <c r="B21" s="1243" t="s">
        <v>532</v>
      </c>
      <c r="C21" s="1249" t="e">
        <f t="shared" si="1"/>
        <v>#REF!</v>
      </c>
      <c r="D21" s="1245" t="e">
        <f>SUM(D22:D28)</f>
        <v>#REF!</v>
      </c>
      <c r="E21" s="1245" t="e">
        <f t="shared" ref="E21" si="4">SUM(E22:E28)</f>
        <v>#REF!</v>
      </c>
      <c r="F21" s="1245" t="e">
        <f>SUM(F22:F28)</f>
        <v>#REF!</v>
      </c>
      <c r="G21" s="1245" t="e">
        <f>SUM(G22:G28)</f>
        <v>#REF!</v>
      </c>
      <c r="H21" s="1246" t="e">
        <f t="shared" ref="H21:K21" si="5">SUM(H22:H28)</f>
        <v>#REF!</v>
      </c>
      <c r="I21" s="1246" t="e">
        <f t="shared" si="5"/>
        <v>#REF!</v>
      </c>
      <c r="J21" s="1246" t="e">
        <f t="shared" si="5"/>
        <v>#REF!</v>
      </c>
      <c r="K21" s="1247" t="e">
        <f t="shared" si="5"/>
        <v>#REF!</v>
      </c>
    </row>
    <row r="22" spans="1:11" ht="30">
      <c r="A22" s="1163"/>
      <c r="B22" s="1253" t="str">
        <f>+'28.ПЛАН о Фин.сост'!C22</f>
        <v>Ветеринарные и лабораторные расходы при сдаче молока</v>
      </c>
      <c r="C22" s="1220" t="e">
        <f t="shared" si="1"/>
        <v>#REF!</v>
      </c>
      <c r="D22" s="1238" t="e">
        <f>+'28.ПЛАН о Фин.сост'!D22*0.3</f>
        <v>#REF!</v>
      </c>
      <c r="E22" s="1238" t="e">
        <f>+'28.ПЛАН о Фин.сост'!D22*0.2</f>
        <v>#REF!</v>
      </c>
      <c r="F22" s="1238" t="e">
        <f>+'28.ПЛАН о Фин.сост'!D22*0.25</f>
        <v>#REF!</v>
      </c>
      <c r="G22" s="1238" t="e">
        <f>+'28.ПЛАН о Фин.сост'!D22*0.25</f>
        <v>#REF!</v>
      </c>
      <c r="H22" s="1254" t="e">
        <f>+'28.ПЛАН о Фин.сост'!E22</f>
        <v>#REF!</v>
      </c>
      <c r="I22" s="1254" t="e">
        <f>+'28.ПЛАН о Фин.сост'!F22</f>
        <v>#REF!</v>
      </c>
      <c r="J22" s="1254" t="e">
        <f>+'28.ПЛАН о Фин.сост'!G22</f>
        <v>#REF!</v>
      </c>
      <c r="K22" s="1255" t="e">
        <f>+'28.ПЛАН о Фин.сост'!H22</f>
        <v>#REF!</v>
      </c>
    </row>
    <row r="23" spans="1:11" ht="15" customHeight="1">
      <c r="A23" s="1168"/>
      <c r="B23" s="1229" t="str">
        <f>+'28.ПЛАН о Фин.сост'!C25</f>
        <v>Расходы на запчасти, ремонт</v>
      </c>
      <c r="C23" s="1195">
        <f t="shared" si="1"/>
        <v>85</v>
      </c>
      <c r="D23" s="1238">
        <f>+'28.ПЛАН о Фин.сост'!D25*0.42</f>
        <v>35.699999999999996</v>
      </c>
      <c r="E23" s="1238">
        <f>+'28.ПЛАН о Фин.сост'!D25*0.15</f>
        <v>12.75</v>
      </c>
      <c r="F23" s="1238">
        <f>+'28.ПЛАН о Фин.сост'!D25*0.18</f>
        <v>15.299999999999999</v>
      </c>
      <c r="G23" s="1238">
        <f>+'28.ПЛАН о Фин.сост'!D25*0.25</f>
        <v>21.25</v>
      </c>
      <c r="H23" s="1230">
        <f>+'28.ПЛАН о Фин.сост'!E25</f>
        <v>97.749999999999986</v>
      </c>
      <c r="I23" s="1230">
        <f>+'28.ПЛАН о Фин.сост'!F25</f>
        <v>112.41249999999998</v>
      </c>
      <c r="J23" s="1230">
        <f>+'28.ПЛАН о Фин.сост'!G25</f>
        <v>129.27437499999996</v>
      </c>
      <c r="K23" s="1232">
        <f>+'28.ПЛАН о Фин.сост'!H25</f>
        <v>148.66553124999996</v>
      </c>
    </row>
    <row r="24" spans="1:11" ht="15" customHeight="1">
      <c r="A24" s="1168"/>
      <c r="B24" s="1229" t="str">
        <f>+'28.ПЛАН о Фин.сост'!C29</f>
        <v>Фиксированные взносы</v>
      </c>
      <c r="C24" s="1195" t="e">
        <f t="shared" si="1"/>
        <v>#REF!</v>
      </c>
      <c r="D24" s="1238"/>
      <c r="E24" s="1238"/>
      <c r="F24" s="1238"/>
      <c r="G24" s="1238" t="e">
        <f>+'28.ПЛАН о Фин.сост'!D29</f>
        <v>#REF!</v>
      </c>
      <c r="H24" s="1230" t="e">
        <f>+'28.ПЛАН о Фин.сост'!E29</f>
        <v>#REF!</v>
      </c>
      <c r="I24" s="1230" t="e">
        <f>+'28.ПЛАН о Фин.сост'!F29</f>
        <v>#REF!</v>
      </c>
      <c r="J24" s="1230" t="e">
        <f>+'28.ПЛАН о Фин.сост'!G29</f>
        <v>#REF!</v>
      </c>
      <c r="K24" s="1232" t="e">
        <f>+'28.ПЛАН о Фин.сост'!H29</f>
        <v>#REF!</v>
      </c>
    </row>
    <row r="25" spans="1:11" ht="30">
      <c r="A25" s="1168"/>
      <c r="B25" s="1229" t="s">
        <v>533</v>
      </c>
      <c r="C25" s="1195">
        <f t="shared" si="1"/>
        <v>0</v>
      </c>
      <c r="D25" s="1238"/>
      <c r="E25" s="1238"/>
      <c r="F25" s="1238"/>
      <c r="G25" s="1238"/>
      <c r="H25" s="1230" t="e">
        <f>+'28.ПЛАН о Фин.сост'!E30*0.3</f>
        <v>#REF!</v>
      </c>
      <c r="I25" s="1230" t="e">
        <f>+'28.ПЛАН о Фин.сост'!F30*0.3</f>
        <v>#REF!</v>
      </c>
      <c r="J25" s="1230" t="e">
        <f>+'28.ПЛАН о Фин.сост'!G30*0.3</f>
        <v>#REF!</v>
      </c>
      <c r="K25" s="1232" t="e">
        <f>+'28.ПЛАН о Фин.сост'!H30*0.3</f>
        <v>#REF!</v>
      </c>
    </row>
    <row r="26" spans="1:11" ht="15" customHeight="1">
      <c r="A26" s="1168"/>
      <c r="B26" s="1229" t="s">
        <v>534</v>
      </c>
      <c r="C26" s="1195">
        <f t="shared" si="1"/>
        <v>0</v>
      </c>
      <c r="D26" s="1237"/>
      <c r="E26" s="1237"/>
      <c r="F26" s="1237"/>
      <c r="G26" s="1237"/>
      <c r="H26" s="1194"/>
      <c r="I26" s="1194"/>
      <c r="J26" s="1194"/>
      <c r="K26" s="1231"/>
    </row>
    <row r="27" spans="1:11" ht="30">
      <c r="A27" s="1168"/>
      <c r="B27" s="1229" t="s">
        <v>535</v>
      </c>
      <c r="C27" s="1195">
        <f t="shared" si="1"/>
        <v>0</v>
      </c>
      <c r="D27" s="1238"/>
      <c r="E27" s="1238"/>
      <c r="F27" s="1238"/>
      <c r="G27" s="1238"/>
      <c r="H27" s="1230"/>
      <c r="I27" s="1230"/>
      <c r="J27" s="1230"/>
      <c r="K27" s="1232"/>
    </row>
    <row r="28" spans="1:11" ht="30.75" thickBot="1">
      <c r="A28" s="1218"/>
      <c r="B28" s="1261" t="s">
        <v>536</v>
      </c>
      <c r="C28" s="1199">
        <f t="shared" si="1"/>
        <v>0</v>
      </c>
      <c r="D28" s="1262"/>
      <c r="E28" s="1262"/>
      <c r="F28" s="1262"/>
      <c r="G28" s="1262"/>
      <c r="H28" s="1263"/>
      <c r="I28" s="1263"/>
      <c r="J28" s="1263"/>
      <c r="K28" s="1264"/>
    </row>
    <row r="29" spans="1:11" ht="16.5" thickBot="1">
      <c r="A29" s="1265">
        <v>8</v>
      </c>
      <c r="B29" s="1266" t="s">
        <v>516</v>
      </c>
      <c r="C29" s="1267" t="e">
        <f>SUM(D29:G29)</f>
        <v>#REF!</v>
      </c>
      <c r="D29" s="1268" t="e">
        <f t="shared" ref="D29:K29" si="6">+D3+D16+D17+D18+D19+D20+D21</f>
        <v>#REF!</v>
      </c>
      <c r="E29" s="1268" t="e">
        <f t="shared" si="6"/>
        <v>#REF!</v>
      </c>
      <c r="F29" s="1268" t="e">
        <f t="shared" si="6"/>
        <v>#REF!</v>
      </c>
      <c r="G29" s="1268" t="e">
        <f t="shared" si="6"/>
        <v>#REF!</v>
      </c>
      <c r="H29" s="1268" t="e">
        <f t="shared" si="6"/>
        <v>#REF!</v>
      </c>
      <c r="I29" s="1268" t="e">
        <f t="shared" si="6"/>
        <v>#REF!</v>
      </c>
      <c r="J29" s="1268" t="e">
        <f t="shared" si="6"/>
        <v>#REF!</v>
      </c>
      <c r="K29" s="1269" t="e">
        <f t="shared" si="6"/>
        <v>#REF!</v>
      </c>
    </row>
    <row r="30" spans="1:11">
      <c r="C30" s="1227"/>
    </row>
    <row r="31" spans="1:11" ht="15">
      <c r="C31" s="1226" t="e">
        <f>+'28.ПЛАН о Фин.сост'!D19+'28.ПЛАН о Фин.сост'!D34</f>
        <v>#REF!</v>
      </c>
      <c r="D31" s="1228"/>
      <c r="E31" s="1228"/>
      <c r="F31" s="1228"/>
      <c r="G31" s="1228"/>
      <c r="H31" s="1228" t="e">
        <f>+'28.ПЛАН о Фин.сост'!E19+'28.ПЛАН о Фин.сост'!E34</f>
        <v>#REF!</v>
      </c>
      <c r="I31" s="1228" t="e">
        <f>+'28.ПЛАН о Фин.сост'!F19+'28.ПЛАН о Фин.сост'!F34</f>
        <v>#REF!</v>
      </c>
      <c r="J31" s="1228" t="e">
        <f>+'28.ПЛАН о Фин.сост'!G19+'28.ПЛАН о Фин.сост'!G34</f>
        <v>#REF!</v>
      </c>
      <c r="K31" s="1228" t="e">
        <f>+'28.ПЛАН о Фин.сост'!H19+'28.ПЛАН о Фин.сост'!H34</f>
        <v>#REF!</v>
      </c>
    </row>
    <row r="32" spans="1:11">
      <c r="C32" s="1228" t="e">
        <f>+C29-C31</f>
        <v>#REF!</v>
      </c>
      <c r="D32" s="1228"/>
      <c r="E32" s="1228"/>
      <c r="F32" s="1228"/>
      <c r="G32" s="1228"/>
      <c r="H32" s="1228" t="e">
        <f t="shared" ref="H32:K32" si="7">+H29-H31</f>
        <v>#REF!</v>
      </c>
      <c r="I32" s="1228" t="e">
        <f t="shared" si="7"/>
        <v>#REF!</v>
      </c>
      <c r="J32" s="1228" t="e">
        <f t="shared" si="7"/>
        <v>#REF!</v>
      </c>
      <c r="K32" s="1228" t="e">
        <f t="shared" si="7"/>
        <v>#REF!</v>
      </c>
    </row>
  </sheetData>
  <mergeCells count="8">
    <mergeCell ref="I1:I2"/>
    <mergeCell ref="J1:J2"/>
    <mergeCell ref="K1:K2"/>
    <mergeCell ref="A1:A2"/>
    <mergeCell ref="B1:B2"/>
    <mergeCell ref="C1:C2"/>
    <mergeCell ref="D1:G1"/>
    <mergeCell ref="H1: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10"/>
  <sheetViews>
    <sheetView workbookViewId="0">
      <selection activeCell="G34" sqref="G34"/>
    </sheetView>
  </sheetViews>
  <sheetFormatPr defaultRowHeight="12.75"/>
  <cols>
    <col min="1" max="1" width="5.85546875" customWidth="1"/>
    <col min="2" max="2" width="40" customWidth="1"/>
    <col min="3" max="8" width="9.5703125" customWidth="1"/>
  </cols>
  <sheetData>
    <row r="1" spans="1:8" ht="27" customHeight="1">
      <c r="A1" s="2347" t="s">
        <v>381</v>
      </c>
      <c r="B1" s="2335" t="s">
        <v>518</v>
      </c>
      <c r="C1" s="2335" t="s">
        <v>519</v>
      </c>
      <c r="D1" s="2335"/>
      <c r="E1" s="2335"/>
      <c r="F1" s="2335"/>
      <c r="G1" s="2335"/>
      <c r="H1" s="2337"/>
    </row>
    <row r="2" spans="1:8" ht="27" customHeight="1" thickBot="1">
      <c r="A2" s="2348"/>
      <c r="B2" s="2336"/>
      <c r="C2" s="1161">
        <v>2019</v>
      </c>
      <c r="D2" s="1161">
        <v>2020</v>
      </c>
      <c r="E2" s="1161">
        <v>2021</v>
      </c>
      <c r="F2" s="1161">
        <v>2022</v>
      </c>
      <c r="G2" s="1161">
        <v>2023</v>
      </c>
      <c r="H2" s="1162" t="s">
        <v>467</v>
      </c>
    </row>
    <row r="3" spans="1:8" ht="30">
      <c r="A3" s="1163">
        <v>1</v>
      </c>
      <c r="B3" s="1219" t="s">
        <v>520</v>
      </c>
      <c r="C3" s="1475">
        <f>+'25.БалДенСр'!D5</f>
        <v>100</v>
      </c>
      <c r="D3" s="1475" t="e">
        <f>+'25.БалДенСр'!E5</f>
        <v>#REF!</v>
      </c>
      <c r="E3" s="1475" t="e">
        <f>+'25.БалДенСр'!F5</f>
        <v>#REF!</v>
      </c>
      <c r="F3" s="1475" t="e">
        <f>+'25.БалДенСр'!G5</f>
        <v>#REF!</v>
      </c>
      <c r="G3" s="1476" t="e">
        <f>+'25.БалДенСр'!H5</f>
        <v>#REF!</v>
      </c>
      <c r="H3" s="1477" t="e">
        <f>SUM(C3:G3)</f>
        <v>#REF!</v>
      </c>
    </row>
    <row r="4" spans="1:8" ht="30">
      <c r="A4" s="1168">
        <v>2</v>
      </c>
      <c r="B4" s="1157" t="s">
        <v>521</v>
      </c>
      <c r="C4" s="1456" t="e">
        <f>+Лист5!C3</f>
        <v>#REF!</v>
      </c>
      <c r="D4" s="1456">
        <f>+Лист5!H3</f>
        <v>0</v>
      </c>
      <c r="E4" s="1456">
        <f>+Лист5!I3</f>
        <v>0</v>
      </c>
      <c r="F4" s="1456">
        <f>+Лист5!J3</f>
        <v>0</v>
      </c>
      <c r="G4" s="1478">
        <f>+Лист5!K3</f>
        <v>0</v>
      </c>
      <c r="H4" s="1479" t="e">
        <f t="shared" ref="H4:H6" si="0">SUM(C4:G4)</f>
        <v>#REF!</v>
      </c>
    </row>
    <row r="5" spans="1:8" ht="30">
      <c r="A5" s="1217">
        <v>3</v>
      </c>
      <c r="B5" s="1157" t="s">
        <v>522</v>
      </c>
      <c r="C5" s="1480" t="e">
        <f>+Лист7!C29</f>
        <v>#REF!</v>
      </c>
      <c r="D5" s="1480" t="e">
        <f>+Лист7!H29</f>
        <v>#REF!</v>
      </c>
      <c r="E5" s="1480" t="e">
        <f>+Лист7!I29</f>
        <v>#REF!</v>
      </c>
      <c r="F5" s="1480" t="e">
        <f>+Лист7!J29</f>
        <v>#REF!</v>
      </c>
      <c r="G5" s="1481" t="e">
        <f>+Лист7!K29</f>
        <v>#REF!</v>
      </c>
      <c r="H5" s="1479" t="e">
        <f t="shared" si="0"/>
        <v>#REF!</v>
      </c>
    </row>
    <row r="6" spans="1:8" ht="30.75" thickBot="1">
      <c r="A6" s="1218">
        <v>4</v>
      </c>
      <c r="B6" s="1160" t="s">
        <v>523</v>
      </c>
      <c r="C6" s="1482" t="e">
        <f>+C3+C4-C5</f>
        <v>#REF!</v>
      </c>
      <c r="D6" s="1482" t="e">
        <f t="shared" ref="D6:G6" si="1">+D3+D4-D5</f>
        <v>#REF!</v>
      </c>
      <c r="E6" s="1482" t="e">
        <f t="shared" si="1"/>
        <v>#REF!</v>
      </c>
      <c r="F6" s="1482" t="e">
        <f t="shared" si="1"/>
        <v>#REF!</v>
      </c>
      <c r="G6" s="1483" t="e">
        <f t="shared" si="1"/>
        <v>#REF!</v>
      </c>
      <c r="H6" s="1484" t="e">
        <f t="shared" si="0"/>
        <v>#REF!</v>
      </c>
    </row>
    <row r="7" spans="1:8">
      <c r="A7" s="1155"/>
    </row>
    <row r="8" spans="1:8" ht="13.5" thickBot="1">
      <c r="A8" s="1155"/>
    </row>
    <row r="9" spans="1:8" ht="22.5" customHeight="1">
      <c r="A9" s="1222"/>
      <c r="B9" s="1223"/>
      <c r="C9" s="1223" t="s">
        <v>83</v>
      </c>
      <c r="D9" s="1224">
        <v>2019</v>
      </c>
      <c r="E9" s="1224">
        <v>2020</v>
      </c>
      <c r="F9" s="1224">
        <v>2021</v>
      </c>
      <c r="G9" s="1224">
        <v>2022</v>
      </c>
      <c r="H9" s="1225">
        <v>2023</v>
      </c>
    </row>
    <row r="10" spans="1:8" ht="22.5" customHeight="1" thickBot="1">
      <c r="A10" s="1221"/>
      <c r="B10" s="1198" t="s">
        <v>524</v>
      </c>
      <c r="C10" s="1485" t="e">
        <f>SUM(D10:H10)</f>
        <v>#REF!</v>
      </c>
      <c r="D10" s="1485" t="e">
        <f>+'28.ПЛАН о Фин.сост'!D36</f>
        <v>#REF!</v>
      </c>
      <c r="E10" s="1485" t="e">
        <f>+'28.ПЛАН о Фин.сост'!E36</f>
        <v>#REF!</v>
      </c>
      <c r="F10" s="1485" t="e">
        <f>+'28.ПЛАН о Фин.сост'!F36</f>
        <v>#REF!</v>
      </c>
      <c r="G10" s="1485" t="e">
        <f>+'28.ПЛАН о Фин.сост'!G36</f>
        <v>#REF!</v>
      </c>
      <c r="H10" s="1486" t="e">
        <f>+'28.ПЛАН о Фин.сост'!H36</f>
        <v>#REF!</v>
      </c>
    </row>
  </sheetData>
  <mergeCells count="3">
    <mergeCell ref="A1:A2"/>
    <mergeCell ref="B1:B2"/>
    <mergeCell ref="C1:H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5"/>
  <sheetViews>
    <sheetView workbookViewId="0">
      <selection activeCell="I30" sqref="I30"/>
    </sheetView>
  </sheetViews>
  <sheetFormatPr defaultRowHeight="12.75"/>
  <cols>
    <col min="1" max="1" width="4.85546875" customWidth="1"/>
    <col min="2" max="2" width="36.85546875" customWidth="1"/>
  </cols>
  <sheetData>
    <row r="1" spans="1:8" ht="15.75">
      <c r="A1" s="2354" t="s">
        <v>575</v>
      </c>
      <c r="B1" s="2354" t="s">
        <v>239</v>
      </c>
      <c r="C1" s="2354" t="s">
        <v>83</v>
      </c>
      <c r="D1" s="2354" t="s">
        <v>576</v>
      </c>
      <c r="E1" s="2354"/>
      <c r="F1" s="2354"/>
      <c r="G1" s="2354"/>
      <c r="H1" s="2354"/>
    </row>
    <row r="2" spans="1:8" ht="15.75">
      <c r="A2" s="2354"/>
      <c r="B2" s="2354"/>
      <c r="C2" s="2354"/>
      <c r="D2" s="1158">
        <v>2019</v>
      </c>
      <c r="E2" s="1158">
        <v>2020</v>
      </c>
      <c r="F2" s="1158">
        <v>2021</v>
      </c>
      <c r="G2" s="1158">
        <v>2022</v>
      </c>
      <c r="H2" s="1158">
        <v>2023</v>
      </c>
    </row>
    <row r="3" spans="1:8" ht="31.5">
      <c r="A3" s="1158">
        <v>1</v>
      </c>
      <c r="B3" s="1159" t="s">
        <v>578</v>
      </c>
      <c r="C3" s="142" t="e">
        <f>SUM(D3:H3)</f>
        <v>#REF!</v>
      </c>
      <c r="D3" s="142" t="e">
        <f>+'26-27.ЭФФПР'!D17</f>
        <v>#REF!</v>
      </c>
      <c r="E3" s="142">
        <f>+'26-27.ЭФФПР'!E17</f>
        <v>3</v>
      </c>
      <c r="F3" s="142" t="e">
        <f>+'26-27.ЭФФПР'!F17</f>
        <v>#REF!</v>
      </c>
      <c r="G3" s="142" t="e">
        <f>+'26-27.ЭФФПР'!G17</f>
        <v>#REF!</v>
      </c>
      <c r="H3" s="142" t="e">
        <f>+'26-27.ЭФФПР'!H17</f>
        <v>#REF!</v>
      </c>
    </row>
    <row r="4" spans="1:8" ht="31.5">
      <c r="A4" s="1158">
        <v>2</v>
      </c>
      <c r="B4" s="1159" t="s">
        <v>579</v>
      </c>
      <c r="C4" s="142" t="e">
        <f t="shared" ref="C4:C5" si="0">SUM(D4:H4)</f>
        <v>#DIV/0!</v>
      </c>
      <c r="D4" s="142" t="e">
        <f>+ППП!B26</f>
        <v>#DIV/0!</v>
      </c>
      <c r="E4" s="142" t="e">
        <f>+ППП!C26</f>
        <v>#DIV/0!</v>
      </c>
      <c r="F4" s="142" t="e">
        <f>+ППП!D26</f>
        <v>#DIV/0!</v>
      </c>
      <c r="G4" s="142" t="e">
        <f>+ППП!E26</f>
        <v>#DIV/0!</v>
      </c>
      <c r="H4" s="142" t="e">
        <f>+ППП!F26</f>
        <v>#DIV/0!</v>
      </c>
    </row>
    <row r="5" spans="1:8" ht="31.5">
      <c r="A5" s="1158">
        <v>3</v>
      </c>
      <c r="B5" s="1159" t="s">
        <v>577</v>
      </c>
      <c r="C5" s="142">
        <f t="shared" si="0"/>
        <v>0</v>
      </c>
      <c r="D5" s="1158"/>
      <c r="E5" s="1158"/>
      <c r="F5" s="1158"/>
      <c r="G5" s="1324"/>
      <c r="H5" s="1324"/>
    </row>
  </sheetData>
  <mergeCells count="4">
    <mergeCell ref="A1:A2"/>
    <mergeCell ref="B1:B2"/>
    <mergeCell ref="C1:C2"/>
    <mergeCell ref="D1:H1"/>
  </mergeCell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O21"/>
  <sheetViews>
    <sheetView topLeftCell="A13" workbookViewId="0">
      <selection activeCell="O26" sqref="O26"/>
    </sheetView>
  </sheetViews>
  <sheetFormatPr defaultRowHeight="12.75"/>
  <sheetData>
    <row r="3" spans="5:15" ht="13.5" thickBot="1"/>
    <row r="4" spans="5:15" ht="128.25" thickBot="1">
      <c r="E4" s="1460">
        <v>1</v>
      </c>
      <c r="F4" s="1461" t="s">
        <v>510</v>
      </c>
      <c r="G4" s="1474">
        <f>G5+G6+G10+G13</f>
        <v>10594</v>
      </c>
      <c r="H4" s="1474">
        <f t="shared" ref="H4:O4" si="0">H5+H6+H10+H13</f>
        <v>0</v>
      </c>
      <c r="I4" s="1474">
        <f t="shared" si="0"/>
        <v>0</v>
      </c>
      <c r="J4" s="1474">
        <f t="shared" si="0"/>
        <v>10296</v>
      </c>
      <c r="K4" s="1474">
        <f t="shared" si="0"/>
        <v>298</v>
      </c>
      <c r="L4" s="1474">
        <f t="shared" si="0"/>
        <v>676</v>
      </c>
      <c r="M4" s="1474">
        <f t="shared" si="0"/>
        <v>749</v>
      </c>
      <c r="N4" s="1474">
        <f t="shared" si="0"/>
        <v>822</v>
      </c>
      <c r="O4" s="1474">
        <f t="shared" si="0"/>
        <v>941</v>
      </c>
    </row>
    <row r="5" spans="5:15" ht="77.25" thickBot="1">
      <c r="E5" s="1462">
        <v>1.1000000000000001</v>
      </c>
      <c r="F5" s="1463" t="s">
        <v>620</v>
      </c>
      <c r="G5" s="1464">
        <v>4600</v>
      </c>
      <c r="H5" s="1465"/>
      <c r="I5" s="1464"/>
      <c r="J5" s="1466">
        <v>4600</v>
      </c>
      <c r="K5" s="1466"/>
      <c r="L5" s="1466"/>
      <c r="M5" s="1466"/>
      <c r="N5" s="1466"/>
      <c r="O5" s="1466"/>
    </row>
    <row r="6" spans="5:15" ht="39" thickBot="1">
      <c r="E6" s="1462">
        <v>1.2</v>
      </c>
      <c r="F6" s="1463" t="s">
        <v>511</v>
      </c>
      <c r="G6" s="1465">
        <f>G7+G8+G9</f>
        <v>474</v>
      </c>
      <c r="H6" s="1465">
        <f t="shared" ref="H6:O6" si="1">H7+H8+H9</f>
        <v>0</v>
      </c>
      <c r="I6" s="1465">
        <f t="shared" si="1"/>
        <v>0</v>
      </c>
      <c r="J6" s="1465">
        <f t="shared" si="1"/>
        <v>236</v>
      </c>
      <c r="K6" s="1465">
        <f t="shared" si="1"/>
        <v>238</v>
      </c>
      <c r="L6" s="1465">
        <f t="shared" si="1"/>
        <v>538</v>
      </c>
      <c r="M6" s="1465">
        <f t="shared" si="1"/>
        <v>590</v>
      </c>
      <c r="N6" s="1465">
        <f t="shared" si="1"/>
        <v>639</v>
      </c>
      <c r="O6" s="1465">
        <f t="shared" si="1"/>
        <v>731</v>
      </c>
    </row>
    <row r="7" spans="5:15" ht="13.5" thickBot="1">
      <c r="E7" s="1468"/>
      <c r="F7" s="1469" t="s">
        <v>368</v>
      </c>
      <c r="G7" s="1466">
        <v>362</v>
      </c>
      <c r="H7" s="1466"/>
      <c r="I7" s="1466"/>
      <c r="J7" s="1466">
        <v>181</v>
      </c>
      <c r="K7" s="1466">
        <v>181</v>
      </c>
      <c r="L7" s="1466">
        <v>411</v>
      </c>
      <c r="M7" s="1466">
        <v>447</v>
      </c>
      <c r="N7" s="1466">
        <v>478</v>
      </c>
      <c r="O7" s="1466">
        <v>547</v>
      </c>
    </row>
    <row r="8" spans="5:15" ht="64.5" thickBot="1">
      <c r="E8" s="1468"/>
      <c r="F8" s="1469" t="s">
        <v>621</v>
      </c>
      <c r="G8" s="1466">
        <v>27</v>
      </c>
      <c r="H8" s="1466"/>
      <c r="I8" s="1466"/>
      <c r="J8" s="1466">
        <v>13</v>
      </c>
      <c r="K8" s="1466">
        <v>14</v>
      </c>
      <c r="L8" s="1466">
        <v>29</v>
      </c>
      <c r="M8" s="1466">
        <v>31</v>
      </c>
      <c r="N8" s="1466">
        <v>32</v>
      </c>
      <c r="O8" s="1466">
        <v>35</v>
      </c>
    </row>
    <row r="9" spans="5:15" ht="51.75" thickBot="1">
      <c r="E9" s="1468"/>
      <c r="F9" s="1469" t="s">
        <v>447</v>
      </c>
      <c r="G9" s="1466">
        <v>85</v>
      </c>
      <c r="H9" s="1466"/>
      <c r="I9" s="1466"/>
      <c r="J9" s="1466">
        <v>42</v>
      </c>
      <c r="K9" s="1466">
        <v>43</v>
      </c>
      <c r="L9" s="1466">
        <v>98</v>
      </c>
      <c r="M9" s="1466">
        <v>112</v>
      </c>
      <c r="N9" s="1466">
        <v>129</v>
      </c>
      <c r="O9" s="1466">
        <v>149</v>
      </c>
    </row>
    <row r="10" spans="5:15" ht="26.25" thickBot="1">
      <c r="E10" s="1462">
        <v>1.3</v>
      </c>
      <c r="F10" s="1463" t="s">
        <v>512</v>
      </c>
      <c r="G10" s="1464">
        <v>5400</v>
      </c>
      <c r="H10" s="1465"/>
      <c r="I10" s="1464"/>
      <c r="J10" s="1465">
        <v>5400</v>
      </c>
      <c r="K10" s="1465"/>
      <c r="L10" s="1465"/>
      <c r="M10" s="1465"/>
      <c r="N10" s="1465"/>
      <c r="O10" s="1465"/>
    </row>
    <row r="11" spans="5:15" ht="64.5" thickBot="1">
      <c r="E11" s="1470"/>
      <c r="F11" s="1469" t="s">
        <v>622</v>
      </c>
      <c r="G11" s="1471">
        <v>4000</v>
      </c>
      <c r="H11" s="1466"/>
      <c r="I11" s="1471"/>
      <c r="J11" s="1466">
        <v>4000</v>
      </c>
      <c r="K11" s="1466"/>
      <c r="L11" s="1466"/>
      <c r="M11" s="1466"/>
      <c r="N11" s="1466"/>
      <c r="O11" s="1466"/>
    </row>
    <row r="12" spans="5:15" ht="166.5" thickBot="1">
      <c r="E12" s="1470"/>
      <c r="F12" s="1469" t="s">
        <v>623</v>
      </c>
      <c r="G12" s="1471">
        <v>1400</v>
      </c>
      <c r="H12" s="1466"/>
      <c r="I12" s="1471"/>
      <c r="J12" s="1466">
        <v>1400</v>
      </c>
      <c r="K12" s="1466"/>
      <c r="L12" s="1466"/>
      <c r="M12" s="1466"/>
      <c r="N12" s="1466"/>
      <c r="O12" s="1466"/>
    </row>
    <row r="13" spans="5:15" ht="26.25" thickBot="1">
      <c r="E13" s="1462">
        <v>1.4</v>
      </c>
      <c r="F13" s="1463" t="s">
        <v>513</v>
      </c>
      <c r="G13" s="1465">
        <v>120</v>
      </c>
      <c r="H13" s="1465"/>
      <c r="I13" s="1465"/>
      <c r="J13" s="1465">
        <v>60</v>
      </c>
      <c r="K13" s="1465">
        <v>60</v>
      </c>
      <c r="L13" s="1465">
        <v>138</v>
      </c>
      <c r="M13" s="1465">
        <v>159</v>
      </c>
      <c r="N13" s="1465">
        <v>183</v>
      </c>
      <c r="O13" s="1465">
        <v>210</v>
      </c>
    </row>
    <row r="14" spans="5:15" ht="102.75" thickBot="1">
      <c r="E14" s="1462">
        <v>2</v>
      </c>
      <c r="F14" s="1463" t="s">
        <v>515</v>
      </c>
      <c r="G14" s="1472">
        <v>1294</v>
      </c>
      <c r="H14" s="1467"/>
      <c r="I14" s="1467"/>
      <c r="J14" s="1467">
        <v>647</v>
      </c>
      <c r="K14" s="1467">
        <v>647</v>
      </c>
      <c r="L14" s="1472">
        <v>1387</v>
      </c>
      <c r="M14" s="1472">
        <v>1486</v>
      </c>
      <c r="N14" s="1472">
        <v>1547</v>
      </c>
      <c r="O14" s="1472">
        <v>1661</v>
      </c>
    </row>
    <row r="15" spans="5:15" ht="51">
      <c r="E15" s="2355">
        <v>3</v>
      </c>
      <c r="F15" s="1473" t="s">
        <v>624</v>
      </c>
      <c r="G15" s="2355">
        <v>75</v>
      </c>
      <c r="H15" s="2355"/>
      <c r="I15" s="2355"/>
      <c r="J15" s="2355">
        <v>38</v>
      </c>
      <c r="K15" s="2355">
        <v>37</v>
      </c>
      <c r="L15" s="2355">
        <v>95</v>
      </c>
      <c r="M15" s="2355">
        <v>119</v>
      </c>
      <c r="N15" s="2355">
        <v>148</v>
      </c>
      <c r="O15" s="2355">
        <v>185</v>
      </c>
    </row>
    <row r="16" spans="5:15" ht="39" thickBot="1">
      <c r="E16" s="2356"/>
      <c r="F16" s="1463" t="s">
        <v>625</v>
      </c>
      <c r="G16" s="2356"/>
      <c r="H16" s="2356"/>
      <c r="I16" s="2356"/>
      <c r="J16" s="2356"/>
      <c r="K16" s="2356"/>
      <c r="L16" s="2356"/>
      <c r="M16" s="2356"/>
      <c r="N16" s="2356"/>
      <c r="O16" s="2356"/>
    </row>
    <row r="17" spans="5:15" ht="26.25" thickBot="1">
      <c r="E17" s="1462">
        <v>4</v>
      </c>
      <c r="F17" s="1463" t="s">
        <v>323</v>
      </c>
      <c r="G17" s="1465">
        <v>35</v>
      </c>
      <c r="H17" s="1465"/>
      <c r="I17" s="1465"/>
      <c r="J17" s="1465">
        <v>17</v>
      </c>
      <c r="K17" s="1465">
        <v>18</v>
      </c>
      <c r="L17" s="1465">
        <v>87</v>
      </c>
      <c r="M17" s="1465">
        <v>109</v>
      </c>
      <c r="N17" s="1465">
        <v>136</v>
      </c>
      <c r="O17" s="1465">
        <v>170</v>
      </c>
    </row>
    <row r="18" spans="5:15" ht="26.25" thickBot="1">
      <c r="E18" s="1462">
        <v>5</v>
      </c>
      <c r="F18" s="1463" t="s">
        <v>324</v>
      </c>
      <c r="G18" s="1465">
        <v>38</v>
      </c>
      <c r="H18" s="1465"/>
      <c r="I18" s="1465"/>
      <c r="J18" s="1465">
        <v>19</v>
      </c>
      <c r="K18" s="1465">
        <v>19</v>
      </c>
      <c r="L18" s="1465">
        <v>50</v>
      </c>
      <c r="M18" s="1465">
        <v>45</v>
      </c>
      <c r="N18" s="1465">
        <v>43</v>
      </c>
      <c r="O18" s="1465">
        <v>78</v>
      </c>
    </row>
    <row r="19" spans="5:15" ht="25.5">
      <c r="E19" s="2355">
        <v>6</v>
      </c>
      <c r="F19" s="1473" t="s">
        <v>626</v>
      </c>
      <c r="G19" s="2355">
        <v>14</v>
      </c>
      <c r="H19" s="2355"/>
      <c r="I19" s="2355"/>
      <c r="J19" s="2355">
        <v>7</v>
      </c>
      <c r="K19" s="2355">
        <v>7</v>
      </c>
      <c r="L19" s="2355">
        <v>15</v>
      </c>
      <c r="M19" s="2355">
        <v>15</v>
      </c>
      <c r="N19" s="2355">
        <v>16</v>
      </c>
      <c r="O19" s="2355">
        <v>17</v>
      </c>
    </row>
    <row r="20" spans="5:15" ht="77.25" thickBot="1">
      <c r="E20" s="2356"/>
      <c r="F20" s="1463" t="s">
        <v>627</v>
      </c>
      <c r="G20" s="2356"/>
      <c r="H20" s="2356"/>
      <c r="I20" s="2356"/>
      <c r="J20" s="2356"/>
      <c r="K20" s="2356"/>
      <c r="L20" s="2356"/>
      <c r="M20" s="2356"/>
      <c r="N20" s="2356"/>
      <c r="O20" s="2356"/>
    </row>
    <row r="21" spans="5:15" ht="39" thickBot="1">
      <c r="E21" s="1462"/>
      <c r="F21" s="1463" t="s">
        <v>516</v>
      </c>
      <c r="G21" s="1464">
        <f>G4+G14+G15+G17+G18+G19</f>
        <v>12050</v>
      </c>
      <c r="H21" s="1464">
        <f t="shared" ref="H21:O21" si="2">H4+H14+H15+H17+H18+H19</f>
        <v>0</v>
      </c>
      <c r="I21" s="1464">
        <f t="shared" si="2"/>
        <v>0</v>
      </c>
      <c r="J21" s="1464">
        <f t="shared" si="2"/>
        <v>11024</v>
      </c>
      <c r="K21" s="1464">
        <f t="shared" si="2"/>
        <v>1026</v>
      </c>
      <c r="L21" s="1464">
        <f t="shared" si="2"/>
        <v>2310</v>
      </c>
      <c r="M21" s="1464">
        <f t="shared" si="2"/>
        <v>2523</v>
      </c>
      <c r="N21" s="1464">
        <f t="shared" si="2"/>
        <v>2712</v>
      </c>
      <c r="O21" s="1464">
        <f t="shared" si="2"/>
        <v>3052</v>
      </c>
    </row>
  </sheetData>
  <mergeCells count="20">
    <mergeCell ref="K19:K20"/>
    <mergeCell ref="E15:E16"/>
    <mergeCell ref="G15:G16"/>
    <mergeCell ref="H15:H16"/>
    <mergeCell ref="I15:I16"/>
    <mergeCell ref="J15:J16"/>
    <mergeCell ref="K15:K16"/>
    <mergeCell ref="E19:E20"/>
    <mergeCell ref="G19:G20"/>
    <mergeCell ref="H19:H20"/>
    <mergeCell ref="I19:I20"/>
    <mergeCell ref="J19:J20"/>
    <mergeCell ref="L19:L20"/>
    <mergeCell ref="M19:M20"/>
    <mergeCell ref="N19:N20"/>
    <mergeCell ref="O19:O20"/>
    <mergeCell ref="L15:L16"/>
    <mergeCell ref="M15:M16"/>
    <mergeCell ref="N15:N16"/>
    <mergeCell ref="O15:O1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6" sqref="C6"/>
    </sheetView>
  </sheetViews>
  <sheetFormatPr defaultRowHeight="12.75"/>
  <cols>
    <col min="1" max="1" width="7.140625" customWidth="1"/>
    <col min="2" max="2" width="55.7109375" customWidth="1"/>
  </cols>
  <sheetData>
    <row r="1" spans="1:8" ht="18.75">
      <c r="B1" s="15"/>
      <c r="C1" s="1089"/>
      <c r="D1" s="1089"/>
      <c r="E1" s="1089"/>
      <c r="F1" s="1089"/>
      <c r="G1" s="1089"/>
      <c r="H1" s="1292" t="s">
        <v>647</v>
      </c>
    </row>
    <row r="2" spans="1:8" ht="15.75">
      <c r="A2" s="2260" t="s">
        <v>719</v>
      </c>
      <c r="B2" s="2260"/>
      <c r="C2" s="2260"/>
      <c r="D2" s="2260"/>
      <c r="E2" s="2260"/>
      <c r="F2" s="2260"/>
      <c r="G2" s="2260"/>
      <c r="H2" s="2260"/>
    </row>
    <row r="3" spans="1:8" ht="15.75">
      <c r="A3" s="49"/>
      <c r="B3" s="49"/>
      <c r="C3" s="49"/>
      <c r="D3" s="49"/>
      <c r="E3" s="49"/>
      <c r="F3" s="49"/>
      <c r="G3" s="49"/>
      <c r="H3" s="1557" t="s">
        <v>223</v>
      </c>
    </row>
    <row r="4" spans="1:8" ht="25.5">
      <c r="A4" s="1760" t="s">
        <v>93</v>
      </c>
      <c r="B4" s="1761" t="s">
        <v>84</v>
      </c>
      <c r="C4" s="1761">
        <v>2020</v>
      </c>
      <c r="D4" s="1761">
        <f>C4+1</f>
        <v>2021</v>
      </c>
      <c r="E4" s="1761">
        <f>D4+1</f>
        <v>2022</v>
      </c>
      <c r="F4" s="1761">
        <f>E4+1</f>
        <v>2023</v>
      </c>
      <c r="G4" s="1761">
        <f>F4+1</f>
        <v>2024</v>
      </c>
      <c r="H4" s="1761">
        <f t="shared" ref="H4" si="0">G4+1</f>
        <v>2025</v>
      </c>
    </row>
    <row r="5" spans="1:8" ht="15.75">
      <c r="A5" s="1762">
        <v>1</v>
      </c>
      <c r="B5" s="1763" t="s">
        <v>99</v>
      </c>
      <c r="C5" s="1770"/>
      <c r="D5" s="1764">
        <f>C19</f>
        <v>0</v>
      </c>
      <c r="E5" s="1764">
        <f>D19</f>
        <v>0</v>
      </c>
      <c r="F5" s="1764">
        <f>E19</f>
        <v>0</v>
      </c>
      <c r="G5" s="1764">
        <f>F19</f>
        <v>0</v>
      </c>
      <c r="H5" s="1764">
        <f t="shared" ref="H5" si="1">G19</f>
        <v>0</v>
      </c>
    </row>
    <row r="6" spans="1:8" ht="15.75">
      <c r="A6" s="11">
        <v>2</v>
      </c>
      <c r="B6" s="37" t="s">
        <v>724</v>
      </c>
      <c r="C6" s="1090">
        <f>'фИН РЕЗ'!C6</f>
        <v>0</v>
      </c>
      <c r="D6" s="1090">
        <f>'фИН РЕЗ'!D6</f>
        <v>0</v>
      </c>
      <c r="E6" s="1090">
        <f>'фИН РЕЗ'!E6</f>
        <v>0</v>
      </c>
      <c r="F6" s="1090">
        <f>'фИН РЕЗ'!F6</f>
        <v>0</v>
      </c>
      <c r="G6" s="1090">
        <f>'фИН РЕЗ'!G6</f>
        <v>0</v>
      </c>
      <c r="H6" s="1090">
        <f>'фИН РЕЗ'!H6</f>
        <v>0</v>
      </c>
    </row>
    <row r="7" spans="1:8" ht="15.75">
      <c r="A7" s="1762">
        <v>3</v>
      </c>
      <c r="B7" s="37" t="s">
        <v>716</v>
      </c>
      <c r="C7" s="1090">
        <f>'фИН РЕЗ'!C9</f>
        <v>0</v>
      </c>
      <c r="D7" s="1090">
        <f>'фИН РЕЗ'!D9</f>
        <v>0</v>
      </c>
      <c r="E7" s="1090">
        <f>'фИН РЕЗ'!E9</f>
        <v>0</v>
      </c>
      <c r="F7" s="1090">
        <f>'фИН РЕЗ'!F9</f>
        <v>0</v>
      </c>
      <c r="G7" s="1090">
        <f>'фИН РЕЗ'!G9</f>
        <v>0</v>
      </c>
      <c r="H7" s="1090">
        <f>'фИН РЕЗ'!H9</f>
        <v>0</v>
      </c>
    </row>
    <row r="8" spans="1:8" ht="15.75">
      <c r="A8" s="11">
        <v>4</v>
      </c>
      <c r="B8" s="37" t="s">
        <v>484</v>
      </c>
      <c r="C8" s="1090">
        <f>'фИН РЕЗ'!C10</f>
        <v>0</v>
      </c>
      <c r="D8" s="1090">
        <f>'фИН РЕЗ'!D10</f>
        <v>0</v>
      </c>
      <c r="E8" s="1090">
        <f>'фИН РЕЗ'!E10</f>
        <v>0</v>
      </c>
      <c r="F8" s="1090">
        <f>'фИН РЕЗ'!F10</f>
        <v>0</v>
      </c>
      <c r="G8" s="1090">
        <f>'фИН РЕЗ'!G10</f>
        <v>0</v>
      </c>
      <c r="H8" s="1090">
        <f>'фИН РЕЗ'!H10</f>
        <v>0</v>
      </c>
    </row>
    <row r="9" spans="1:8" ht="15.75">
      <c r="A9" s="1762">
        <v>5</v>
      </c>
      <c r="B9" s="37" t="s">
        <v>626</v>
      </c>
      <c r="C9" s="1090">
        <f>'фИН РЕЗ'!C18</f>
        <v>0</v>
      </c>
      <c r="D9" s="1090">
        <f>'фИН РЕЗ'!D18</f>
        <v>0</v>
      </c>
      <c r="E9" s="1090">
        <f>'фИН РЕЗ'!E18</f>
        <v>0</v>
      </c>
      <c r="F9" s="1090">
        <f>'фИН РЕЗ'!F18</f>
        <v>0</v>
      </c>
      <c r="G9" s="1090">
        <f>'фИН РЕЗ'!G18</f>
        <v>0</v>
      </c>
      <c r="H9" s="1090">
        <f>'фИН РЕЗ'!H18</f>
        <v>0</v>
      </c>
    </row>
    <row r="10" spans="1:8" ht="15.75">
      <c r="A10" s="11">
        <v>6</v>
      </c>
      <c r="B10" s="37" t="s">
        <v>720</v>
      </c>
      <c r="C10" s="1090">
        <f>'фИН РЕЗ'!C22</f>
        <v>0</v>
      </c>
      <c r="D10" s="1090">
        <f>'фИН РЕЗ'!D22</f>
        <v>0</v>
      </c>
      <c r="E10" s="1090">
        <f>'фИН РЕЗ'!E22</f>
        <v>0</v>
      </c>
      <c r="F10" s="1090">
        <f>'фИН РЕЗ'!F22</f>
        <v>0</v>
      </c>
      <c r="G10" s="1090">
        <f>'фИН РЕЗ'!G22</f>
        <v>0</v>
      </c>
      <c r="H10" s="1090">
        <f>'фИН РЕЗ'!H22</f>
        <v>0</v>
      </c>
    </row>
    <row r="11" spans="1:8" ht="31.5">
      <c r="A11" s="1762">
        <v>7</v>
      </c>
      <c r="B11" s="1765" t="s">
        <v>485</v>
      </c>
      <c r="C11" s="1805">
        <f>C6+C7-C8-C9+C10</f>
        <v>0</v>
      </c>
      <c r="D11" s="1805">
        <f t="shared" ref="D11:H11" si="2">D5+D6+D7-D8-D9+D10</f>
        <v>0</v>
      </c>
      <c r="E11" s="1805">
        <f t="shared" si="2"/>
        <v>0</v>
      </c>
      <c r="F11" s="1805">
        <f t="shared" si="2"/>
        <v>0</v>
      </c>
      <c r="G11" s="1805">
        <f t="shared" si="2"/>
        <v>0</v>
      </c>
      <c r="H11" s="1805">
        <f t="shared" si="2"/>
        <v>0</v>
      </c>
    </row>
    <row r="12" spans="1:8" ht="15.75">
      <c r="A12" s="11">
        <v>8</v>
      </c>
      <c r="B12" s="1000" t="s">
        <v>482</v>
      </c>
      <c r="C12" s="1766"/>
      <c r="D12" s="1766"/>
      <c r="E12" s="1091"/>
      <c r="F12" s="1091"/>
      <c r="G12" s="1091"/>
      <c r="H12" s="1091"/>
    </row>
    <row r="13" spans="1:8" ht="15.75">
      <c r="A13" s="1762">
        <v>9</v>
      </c>
      <c r="B13" s="1000" t="s">
        <v>486</v>
      </c>
      <c r="C13" s="1766">
        <v>0</v>
      </c>
      <c r="D13" s="1766"/>
      <c r="E13" s="1766"/>
      <c r="F13" s="1766"/>
      <c r="G13" s="1766"/>
      <c r="H13" s="1766"/>
    </row>
    <row r="14" spans="1:8" ht="15.75">
      <c r="A14" s="11">
        <v>10</v>
      </c>
      <c r="B14" s="1049" t="s">
        <v>27</v>
      </c>
      <c r="C14" s="1090">
        <f>План!C14</f>
        <v>0</v>
      </c>
      <c r="D14" s="1090"/>
      <c r="E14" s="1090"/>
      <c r="F14" s="1090"/>
      <c r="G14" s="1090"/>
      <c r="H14" s="1090"/>
    </row>
    <row r="15" spans="1:8" ht="15.75">
      <c r="A15" s="1762">
        <v>11</v>
      </c>
      <c r="B15" s="1052" t="s">
        <v>26</v>
      </c>
      <c r="C15" s="1096">
        <f>План!E14</f>
        <v>0</v>
      </c>
      <c r="D15" s="1096"/>
      <c r="E15" s="1096"/>
      <c r="F15" s="1096"/>
      <c r="G15" s="1096"/>
      <c r="H15" s="1096"/>
    </row>
    <row r="16" spans="1:8" ht="15.75">
      <c r="A16" s="11">
        <v>12</v>
      </c>
      <c r="B16" s="1053" t="s">
        <v>721</v>
      </c>
      <c r="C16" s="1096">
        <f>План!F14</f>
        <v>0</v>
      </c>
      <c r="D16" s="1096"/>
      <c r="E16" s="1096"/>
      <c r="F16" s="1096"/>
      <c r="G16" s="1096"/>
      <c r="H16" s="1096"/>
    </row>
    <row r="17" spans="1:8" ht="15.75">
      <c r="A17" s="1762">
        <v>13</v>
      </c>
      <c r="B17" s="1053" t="s">
        <v>722</v>
      </c>
      <c r="C17" s="1096">
        <f>План!D14</f>
        <v>0</v>
      </c>
      <c r="D17" s="1096"/>
      <c r="E17" s="1096"/>
      <c r="F17" s="1096"/>
      <c r="G17" s="1096"/>
      <c r="H17" s="1096"/>
    </row>
    <row r="18" spans="1:8" ht="15.75">
      <c r="A18" s="11">
        <v>14</v>
      </c>
      <c r="B18" s="1767" t="s">
        <v>723</v>
      </c>
      <c r="C18" s="1768">
        <f>'[60]6.Кредит'!H15</f>
        <v>0</v>
      </c>
      <c r="D18" s="1768">
        <f>'[60]6.Кредит'!H27</f>
        <v>0</v>
      </c>
      <c r="E18" s="1768">
        <f>'[60]6.Кредит'!H39</f>
        <v>0</v>
      </c>
      <c r="F18" s="1768">
        <f>'[60]6.Кредит'!H51</f>
        <v>0</v>
      </c>
      <c r="G18" s="1768">
        <f>'[60]6.Кредит'!H56</f>
        <v>0</v>
      </c>
      <c r="H18" s="1768">
        <f>'[60]6.Кредит'!H63</f>
        <v>0</v>
      </c>
    </row>
    <row r="19" spans="1:8" ht="15.75">
      <c r="A19" s="1762">
        <v>15</v>
      </c>
      <c r="B19" s="1769" t="s">
        <v>725</v>
      </c>
      <c r="C19" s="1768">
        <f>C5+C11-C12-C13+C14-C18</f>
        <v>0</v>
      </c>
      <c r="D19" s="1768">
        <f t="shared" ref="D19:H19" si="3">D5+D11-D12-D13+D14-D18</f>
        <v>0</v>
      </c>
      <c r="E19" s="1768">
        <f t="shared" si="3"/>
        <v>0</v>
      </c>
      <c r="F19" s="1768">
        <f t="shared" si="3"/>
        <v>0</v>
      </c>
      <c r="G19" s="1768">
        <f t="shared" si="3"/>
        <v>0</v>
      </c>
      <c r="H19" s="1768">
        <f t="shared" si="3"/>
        <v>0</v>
      </c>
    </row>
    <row r="20" spans="1:8" ht="15.75">
      <c r="B20" s="15"/>
      <c r="C20" s="1089"/>
      <c r="D20" s="1089"/>
      <c r="E20" s="1089"/>
      <c r="F20" s="1089"/>
      <c r="G20" s="1089"/>
      <c r="H20" s="1089"/>
    </row>
    <row r="21" spans="1:8" ht="15.75">
      <c r="A21" s="1757"/>
      <c r="B21" s="1756" t="s">
        <v>691</v>
      </c>
      <c r="C21" s="1108"/>
      <c r="D21" s="1108"/>
      <c r="E21" s="1108"/>
      <c r="F21" s="1108"/>
      <c r="G21" s="1108"/>
      <c r="H21" s="1089"/>
    </row>
  </sheetData>
  <mergeCells count="1">
    <mergeCell ref="A2:H2"/>
  </mergeCells>
  <conditionalFormatting sqref="C5:H19">
    <cfRule type="cellIs" dxfId="0" priority="1" operator="equal">
      <formula>0</formula>
    </cfRule>
  </conditionalFormatting>
  <hyperlinks>
    <hyperlink ref="B8" location="Табл.4!B2" display="Текущие расходы (табл. 4)"/>
    <hyperlink ref="B10" location="Табл.5!B2" display="Налоги (табл. 5)"/>
    <hyperlink ref="B12" location="'Табл.1-2'!B2" display="Инвестиционные расходы (табл. 1)"/>
    <hyperlink ref="B13" location="Табл.6!A12" display="Выплаты части чистой прибыли соучредителю(ям) (табл. 6)"/>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1"/>
  <sheetViews>
    <sheetView workbookViewId="0">
      <selection activeCell="F25" sqref="F25"/>
    </sheetView>
  </sheetViews>
  <sheetFormatPr defaultRowHeight="12.75"/>
  <cols>
    <col min="1" max="1" width="4.85546875" customWidth="1"/>
    <col min="2" max="2" width="42.85546875" customWidth="1"/>
    <col min="3" max="9" width="12.5703125" customWidth="1"/>
  </cols>
  <sheetData>
    <row r="4" spans="1:9" ht="15.75">
      <c r="A4" s="2354" t="s">
        <v>575</v>
      </c>
      <c r="B4" s="2354" t="s">
        <v>239</v>
      </c>
      <c r="C4" s="2354" t="s">
        <v>83</v>
      </c>
      <c r="D4" s="2354" t="s">
        <v>726</v>
      </c>
      <c r="E4" s="2354"/>
      <c r="F4" s="2354"/>
      <c r="G4" s="2354"/>
      <c r="H4" s="2354"/>
      <c r="I4" s="2354"/>
    </row>
    <row r="5" spans="1:9" ht="15.75">
      <c r="A5" s="2354"/>
      <c r="B5" s="2354"/>
      <c r="C5" s="2354"/>
      <c r="D5" s="1758">
        <v>2020</v>
      </c>
      <c r="E5" s="1758">
        <v>2021</v>
      </c>
      <c r="F5" s="1758">
        <v>2022</v>
      </c>
      <c r="G5" s="1758">
        <v>2023</v>
      </c>
      <c r="H5" s="1758">
        <v>2024</v>
      </c>
      <c r="I5" s="1758">
        <v>2025</v>
      </c>
    </row>
    <row r="6" spans="1:9" ht="31.5">
      <c r="A6" s="1758">
        <v>1</v>
      </c>
      <c r="B6" s="1159" t="s">
        <v>727</v>
      </c>
      <c r="C6" s="1758">
        <f>D6+E6+F6+G6+H6+I6</f>
        <v>0</v>
      </c>
      <c r="D6" s="1758"/>
      <c r="E6" s="1758"/>
      <c r="F6" s="2422"/>
      <c r="G6" s="1905"/>
      <c r="H6" s="1905"/>
      <c r="I6" s="1906"/>
    </row>
    <row r="7" spans="1:9" ht="31.5">
      <c r="A7" s="1758">
        <v>2</v>
      </c>
      <c r="B7" s="1159" t="s">
        <v>774</v>
      </c>
      <c r="C7" s="142" t="s">
        <v>86</v>
      </c>
      <c r="D7" s="142" t="e">
        <f>ППП!B26</f>
        <v>#DIV/0!</v>
      </c>
      <c r="E7" s="142" t="e">
        <f>ППП!C26</f>
        <v>#DIV/0!</v>
      </c>
      <c r="F7" s="142" t="e">
        <f>ППП!D26</f>
        <v>#DIV/0!</v>
      </c>
      <c r="G7" s="142" t="e">
        <f>ППП!E26</f>
        <v>#DIV/0!</v>
      </c>
      <c r="H7" s="142" t="e">
        <f>ППП!F26</f>
        <v>#DIV/0!</v>
      </c>
      <c r="I7" s="142" t="e">
        <f>ППП!G26</f>
        <v>#DIV/0!</v>
      </c>
    </row>
    <row r="8" spans="1:9" ht="31.5">
      <c r="A8" s="1758">
        <v>3</v>
      </c>
      <c r="B8" s="1159" t="s">
        <v>728</v>
      </c>
      <c r="C8" s="1031">
        <f>SUM(D8:I8)</f>
        <v>0</v>
      </c>
      <c r="D8" s="1194">
        <f>'фИН РЕЗ'!C22+'фИН РЕЗ'!C20</f>
        <v>0</v>
      </c>
      <c r="E8" s="1194">
        <f>'фИН РЕЗ'!D22+'фИН РЕЗ'!D20</f>
        <v>0</v>
      </c>
      <c r="F8" s="1194">
        <f>'фИН РЕЗ'!E22+'фИН РЕЗ'!E20</f>
        <v>0</v>
      </c>
      <c r="G8" s="1194">
        <f>'фИН РЕЗ'!F22+'фИН РЕЗ'!F20</f>
        <v>0</v>
      </c>
      <c r="H8" s="1194">
        <f>'фИН РЕЗ'!G22+'фИН РЕЗ'!G20</f>
        <v>0</v>
      </c>
      <c r="I8" s="1194">
        <f>'фИН РЕЗ'!H22+'фИН РЕЗ'!H20</f>
        <v>0</v>
      </c>
    </row>
    <row r="11" spans="1:9" ht="15.75">
      <c r="B11" s="1756" t="s">
        <v>691</v>
      </c>
    </row>
  </sheetData>
  <mergeCells count="4">
    <mergeCell ref="A4:A5"/>
    <mergeCell ref="B4:B5"/>
    <mergeCell ref="C4:C5"/>
    <mergeCell ref="D4:I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zoomScale="60" zoomScaleNormal="100" workbookViewId="0">
      <selection activeCell="C12" sqref="C12"/>
    </sheetView>
  </sheetViews>
  <sheetFormatPr defaultRowHeight="12.75"/>
  <cols>
    <col min="2" max="6" width="16" customWidth="1"/>
  </cols>
  <sheetData>
    <row r="1" spans="1:9" ht="15.75">
      <c r="A1" s="925"/>
      <c r="B1" s="925"/>
      <c r="C1" s="925"/>
      <c r="D1" s="926"/>
      <c r="E1" s="927"/>
      <c r="F1" s="1771" t="s">
        <v>729</v>
      </c>
      <c r="G1" s="929"/>
      <c r="H1" s="929"/>
      <c r="I1" s="1772"/>
    </row>
    <row r="2" spans="1:9" ht="15.75" customHeight="1">
      <c r="A2" s="2331" t="s">
        <v>466</v>
      </c>
      <c r="B2" s="2331"/>
      <c r="C2" s="2331"/>
      <c r="D2" s="2331"/>
      <c r="E2" s="2331"/>
      <c r="F2" s="2331"/>
      <c r="G2" s="929"/>
      <c r="H2" s="929"/>
      <c r="I2" s="1773"/>
    </row>
    <row r="3" spans="1:9" ht="15.75" customHeight="1">
      <c r="A3" s="2358" t="s">
        <v>733</v>
      </c>
      <c r="B3" s="2358"/>
      <c r="C3" s="2423">
        <v>5</v>
      </c>
      <c r="D3" s="925" t="s">
        <v>734</v>
      </c>
      <c r="E3" s="925"/>
      <c r="F3" s="928"/>
      <c r="G3" s="929"/>
      <c r="H3" s="929"/>
      <c r="I3" s="1773"/>
    </row>
    <row r="4" spans="1:9" ht="48" customHeight="1">
      <c r="A4" s="2359" t="s">
        <v>459</v>
      </c>
      <c r="B4" s="2359" t="s">
        <v>736</v>
      </c>
      <c r="C4" s="1788" t="s">
        <v>735</v>
      </c>
      <c r="D4" s="2359" t="s">
        <v>737</v>
      </c>
      <c r="E4" s="2359" t="s">
        <v>738</v>
      </c>
      <c r="F4" s="2361" t="s">
        <v>462</v>
      </c>
      <c r="G4" s="1774" t="s">
        <v>730</v>
      </c>
      <c r="H4" s="1774" t="s">
        <v>731</v>
      </c>
      <c r="I4" s="1775" t="s">
        <v>732</v>
      </c>
    </row>
    <row r="5" spans="1:9" ht="15.75">
      <c r="A5" s="2360"/>
      <c r="B5" s="2360"/>
      <c r="C5" s="1802"/>
      <c r="D5" s="2360"/>
      <c r="E5" s="2360"/>
      <c r="F5" s="2362"/>
      <c r="G5" s="1774"/>
      <c r="H5" s="1774"/>
      <c r="I5" s="1775"/>
    </row>
    <row r="6" spans="1:9" ht="15.75">
      <c r="A6" s="1789">
        <v>1</v>
      </c>
      <c r="B6" s="1829"/>
      <c r="C6" s="1790">
        <f t="shared" ref="C6:C37" si="0">C$5/12</f>
        <v>0</v>
      </c>
      <c r="D6" s="1790">
        <f>B6/(C3*12)</f>
        <v>0</v>
      </c>
      <c r="E6" s="1791">
        <f>B6*C6%</f>
        <v>0</v>
      </c>
      <c r="F6" s="1792">
        <f>D6+E6</f>
        <v>0</v>
      </c>
      <c r="G6" s="929"/>
      <c r="H6" s="929"/>
      <c r="I6" s="1773"/>
    </row>
    <row r="7" spans="1:9" ht="15.75">
      <c r="A7" s="1789">
        <v>2</v>
      </c>
      <c r="B7" s="1790">
        <f t="shared" ref="B7:B65" si="1">B6-D6</f>
        <v>0</v>
      </c>
      <c r="C7" s="1790">
        <f t="shared" si="0"/>
        <v>0</v>
      </c>
      <c r="D7" s="1790">
        <f t="shared" ref="D7:D65" si="2">$D$6</f>
        <v>0</v>
      </c>
      <c r="E7" s="1791">
        <f t="shared" ref="E7:E65" si="3">B7*C7%</f>
        <v>0</v>
      </c>
      <c r="F7" s="1792">
        <f t="shared" ref="F7:F65" si="4">D7+E7</f>
        <v>0</v>
      </c>
      <c r="G7" s="929"/>
      <c r="H7" s="929"/>
      <c r="I7" s="1773"/>
    </row>
    <row r="8" spans="1:9" ht="15.75">
      <c r="A8" s="1789">
        <v>3</v>
      </c>
      <c r="B8" s="1790">
        <f t="shared" si="1"/>
        <v>0</v>
      </c>
      <c r="C8" s="1790">
        <f t="shared" si="0"/>
        <v>0</v>
      </c>
      <c r="D8" s="1790">
        <f t="shared" si="2"/>
        <v>0</v>
      </c>
      <c r="E8" s="1791">
        <f t="shared" si="3"/>
        <v>0</v>
      </c>
      <c r="F8" s="1792">
        <f t="shared" si="4"/>
        <v>0</v>
      </c>
      <c r="G8" s="929"/>
      <c r="H8" s="929"/>
      <c r="I8" s="1773"/>
    </row>
    <row r="9" spans="1:9" ht="15.75">
      <c r="A9" s="1789">
        <v>4</v>
      </c>
      <c r="B9" s="1790">
        <f t="shared" si="1"/>
        <v>0</v>
      </c>
      <c r="C9" s="1790">
        <f t="shared" si="0"/>
        <v>0</v>
      </c>
      <c r="D9" s="1790">
        <f t="shared" si="2"/>
        <v>0</v>
      </c>
      <c r="E9" s="1791">
        <f t="shared" si="3"/>
        <v>0</v>
      </c>
      <c r="F9" s="1792">
        <f t="shared" si="4"/>
        <v>0</v>
      </c>
      <c r="G9" s="929"/>
      <c r="H9" s="929"/>
      <c r="I9" s="1773"/>
    </row>
    <row r="10" spans="1:9" ht="15.75">
      <c r="A10" s="1789">
        <v>5</v>
      </c>
      <c r="B10" s="1790">
        <f t="shared" si="1"/>
        <v>0</v>
      </c>
      <c r="C10" s="1790">
        <f t="shared" si="0"/>
        <v>0</v>
      </c>
      <c r="D10" s="1790">
        <f t="shared" si="2"/>
        <v>0</v>
      </c>
      <c r="E10" s="1791">
        <f t="shared" si="3"/>
        <v>0</v>
      </c>
      <c r="F10" s="1792">
        <f t="shared" si="4"/>
        <v>0</v>
      </c>
      <c r="G10" s="929"/>
      <c r="H10" s="929"/>
      <c r="I10" s="1773"/>
    </row>
    <row r="11" spans="1:9" ht="15.75">
      <c r="A11" s="1789">
        <v>6</v>
      </c>
      <c r="B11" s="1790">
        <f t="shared" si="1"/>
        <v>0</v>
      </c>
      <c r="C11" s="1790">
        <f t="shared" si="0"/>
        <v>0</v>
      </c>
      <c r="D11" s="1790">
        <f t="shared" si="2"/>
        <v>0</v>
      </c>
      <c r="E11" s="1791">
        <f t="shared" si="3"/>
        <v>0</v>
      </c>
      <c r="F11" s="1792">
        <f t="shared" si="4"/>
        <v>0</v>
      </c>
      <c r="G11" s="929"/>
      <c r="H11" s="929"/>
      <c r="I11" s="1773"/>
    </row>
    <row r="12" spans="1:9" ht="15.75">
      <c r="A12" s="1789">
        <v>7</v>
      </c>
      <c r="B12" s="1790">
        <f t="shared" si="1"/>
        <v>0</v>
      </c>
      <c r="C12" s="1790">
        <f t="shared" si="0"/>
        <v>0</v>
      </c>
      <c r="D12" s="1790">
        <f t="shared" si="2"/>
        <v>0</v>
      </c>
      <c r="E12" s="1791">
        <f t="shared" si="3"/>
        <v>0</v>
      </c>
      <c r="F12" s="1792">
        <f t="shared" si="4"/>
        <v>0</v>
      </c>
      <c r="G12" s="929"/>
      <c r="H12" s="929"/>
      <c r="I12" s="1773"/>
    </row>
    <row r="13" spans="1:9" ht="15.75">
      <c r="A13" s="1789">
        <v>8</v>
      </c>
      <c r="B13" s="1790">
        <f t="shared" si="1"/>
        <v>0</v>
      </c>
      <c r="C13" s="1790">
        <f t="shared" si="0"/>
        <v>0</v>
      </c>
      <c r="D13" s="1790">
        <f t="shared" si="2"/>
        <v>0</v>
      </c>
      <c r="E13" s="1791">
        <f t="shared" si="3"/>
        <v>0</v>
      </c>
      <c r="F13" s="1792">
        <f t="shared" si="4"/>
        <v>0</v>
      </c>
      <c r="G13" s="929"/>
      <c r="H13" s="929"/>
      <c r="I13" s="1773"/>
    </row>
    <row r="14" spans="1:9" ht="15.75">
      <c r="A14" s="1789">
        <v>9</v>
      </c>
      <c r="B14" s="1790">
        <f t="shared" si="1"/>
        <v>0</v>
      </c>
      <c r="C14" s="1790">
        <f t="shared" si="0"/>
        <v>0</v>
      </c>
      <c r="D14" s="1790">
        <f t="shared" si="2"/>
        <v>0</v>
      </c>
      <c r="E14" s="1791">
        <f t="shared" si="3"/>
        <v>0</v>
      </c>
      <c r="F14" s="1792">
        <f t="shared" si="4"/>
        <v>0</v>
      </c>
      <c r="G14" s="929"/>
      <c r="H14" s="929"/>
      <c r="I14" s="1773"/>
    </row>
    <row r="15" spans="1:9" ht="15.75">
      <c r="A15" s="1789">
        <v>10</v>
      </c>
      <c r="B15" s="1790">
        <f t="shared" si="1"/>
        <v>0</v>
      </c>
      <c r="C15" s="1790">
        <f t="shared" si="0"/>
        <v>0</v>
      </c>
      <c r="D15" s="1790">
        <f t="shared" si="2"/>
        <v>0</v>
      </c>
      <c r="E15" s="1791">
        <f t="shared" si="3"/>
        <v>0</v>
      </c>
      <c r="F15" s="1792">
        <f t="shared" si="4"/>
        <v>0</v>
      </c>
      <c r="G15" s="1784">
        <f>SUM(E6:E15)</f>
        <v>0</v>
      </c>
      <c r="H15" s="1776">
        <f>SUM(F6:F15)</f>
        <v>0</v>
      </c>
      <c r="I15" s="1777">
        <v>2020</v>
      </c>
    </row>
    <row r="16" spans="1:9" ht="15.75">
      <c r="A16" s="1793">
        <v>11</v>
      </c>
      <c r="B16" s="935">
        <f t="shared" si="1"/>
        <v>0</v>
      </c>
      <c r="C16" s="935">
        <f t="shared" si="0"/>
        <v>0</v>
      </c>
      <c r="D16" s="935">
        <f t="shared" si="2"/>
        <v>0</v>
      </c>
      <c r="E16" s="935">
        <f t="shared" si="3"/>
        <v>0</v>
      </c>
      <c r="F16" s="1794">
        <f t="shared" si="4"/>
        <v>0</v>
      </c>
      <c r="G16" s="929"/>
      <c r="H16" s="929"/>
      <c r="I16" s="1773"/>
    </row>
    <row r="17" spans="1:9" ht="15.75">
      <c r="A17" s="1793">
        <v>12</v>
      </c>
      <c r="B17" s="935">
        <f t="shared" si="1"/>
        <v>0</v>
      </c>
      <c r="C17" s="935">
        <f t="shared" si="0"/>
        <v>0</v>
      </c>
      <c r="D17" s="935">
        <f t="shared" si="2"/>
        <v>0</v>
      </c>
      <c r="E17" s="935">
        <f t="shared" si="3"/>
        <v>0</v>
      </c>
      <c r="F17" s="1794">
        <f t="shared" si="4"/>
        <v>0</v>
      </c>
      <c r="G17" s="929"/>
      <c r="H17" s="929"/>
      <c r="I17" s="1773"/>
    </row>
    <row r="18" spans="1:9" ht="15.75">
      <c r="A18" s="1793">
        <v>13</v>
      </c>
      <c r="B18" s="935">
        <f t="shared" si="1"/>
        <v>0</v>
      </c>
      <c r="C18" s="935">
        <f t="shared" si="0"/>
        <v>0</v>
      </c>
      <c r="D18" s="935">
        <f t="shared" si="2"/>
        <v>0</v>
      </c>
      <c r="E18" s="935">
        <f t="shared" si="3"/>
        <v>0</v>
      </c>
      <c r="F18" s="1794">
        <f t="shared" si="4"/>
        <v>0</v>
      </c>
      <c r="G18" s="929"/>
      <c r="H18" s="929"/>
      <c r="I18" s="1773"/>
    </row>
    <row r="19" spans="1:9" ht="15.75">
      <c r="A19" s="1793">
        <v>14</v>
      </c>
      <c r="B19" s="935">
        <f t="shared" si="1"/>
        <v>0</v>
      </c>
      <c r="C19" s="935">
        <f t="shared" si="0"/>
        <v>0</v>
      </c>
      <c r="D19" s="935">
        <f t="shared" si="2"/>
        <v>0</v>
      </c>
      <c r="E19" s="935">
        <f t="shared" si="3"/>
        <v>0</v>
      </c>
      <c r="F19" s="1794">
        <f t="shared" si="4"/>
        <v>0</v>
      </c>
      <c r="G19" s="929"/>
      <c r="H19" s="929"/>
      <c r="I19" s="1773"/>
    </row>
    <row r="20" spans="1:9" ht="15.75">
      <c r="A20" s="1793">
        <v>15</v>
      </c>
      <c r="B20" s="935">
        <f t="shared" si="1"/>
        <v>0</v>
      </c>
      <c r="C20" s="935">
        <f t="shared" si="0"/>
        <v>0</v>
      </c>
      <c r="D20" s="935">
        <f t="shared" si="2"/>
        <v>0</v>
      </c>
      <c r="E20" s="935">
        <f t="shared" si="3"/>
        <v>0</v>
      </c>
      <c r="F20" s="1794">
        <f t="shared" si="4"/>
        <v>0</v>
      </c>
      <c r="G20" s="929"/>
      <c r="H20" s="929"/>
      <c r="I20" s="1773"/>
    </row>
    <row r="21" spans="1:9" ht="15.75">
      <c r="A21" s="1793">
        <v>16</v>
      </c>
      <c r="B21" s="935">
        <f t="shared" si="1"/>
        <v>0</v>
      </c>
      <c r="C21" s="935">
        <f t="shared" si="0"/>
        <v>0</v>
      </c>
      <c r="D21" s="935">
        <f t="shared" si="2"/>
        <v>0</v>
      </c>
      <c r="E21" s="935">
        <f t="shared" si="3"/>
        <v>0</v>
      </c>
      <c r="F21" s="1794">
        <f t="shared" si="4"/>
        <v>0</v>
      </c>
      <c r="G21" s="929"/>
      <c r="H21" s="929"/>
      <c r="I21" s="1773"/>
    </row>
    <row r="22" spans="1:9" ht="15.75">
      <c r="A22" s="1793">
        <v>17</v>
      </c>
      <c r="B22" s="935">
        <f t="shared" si="1"/>
        <v>0</v>
      </c>
      <c r="C22" s="935">
        <f t="shared" si="0"/>
        <v>0</v>
      </c>
      <c r="D22" s="935">
        <f t="shared" si="2"/>
        <v>0</v>
      </c>
      <c r="E22" s="935">
        <f t="shared" si="3"/>
        <v>0</v>
      </c>
      <c r="F22" s="1794">
        <f t="shared" si="4"/>
        <v>0</v>
      </c>
      <c r="G22" s="929"/>
      <c r="H22" s="929"/>
      <c r="I22" s="1773"/>
    </row>
    <row r="23" spans="1:9" ht="15.75">
      <c r="A23" s="1793">
        <v>18</v>
      </c>
      <c r="B23" s="935">
        <f t="shared" si="1"/>
        <v>0</v>
      </c>
      <c r="C23" s="935">
        <f t="shared" si="0"/>
        <v>0</v>
      </c>
      <c r="D23" s="935">
        <f t="shared" si="2"/>
        <v>0</v>
      </c>
      <c r="E23" s="935">
        <f t="shared" si="3"/>
        <v>0</v>
      </c>
      <c r="F23" s="1794">
        <f t="shared" si="4"/>
        <v>0</v>
      </c>
      <c r="G23" s="929"/>
      <c r="H23" s="929"/>
      <c r="I23" s="1773"/>
    </row>
    <row r="24" spans="1:9" ht="15.75">
      <c r="A24" s="1793">
        <v>19</v>
      </c>
      <c r="B24" s="935">
        <f t="shared" si="1"/>
        <v>0</v>
      </c>
      <c r="C24" s="935">
        <f t="shared" si="0"/>
        <v>0</v>
      </c>
      <c r="D24" s="935">
        <f t="shared" si="2"/>
        <v>0</v>
      </c>
      <c r="E24" s="935">
        <f t="shared" si="3"/>
        <v>0</v>
      </c>
      <c r="F24" s="1794">
        <f t="shared" si="4"/>
        <v>0</v>
      </c>
      <c r="G24" s="929"/>
      <c r="H24" s="929"/>
      <c r="I24" s="1773"/>
    </row>
    <row r="25" spans="1:9" ht="15.75">
      <c r="A25" s="1793">
        <v>20</v>
      </c>
      <c r="B25" s="935">
        <f t="shared" si="1"/>
        <v>0</v>
      </c>
      <c r="C25" s="935">
        <f t="shared" si="0"/>
        <v>0</v>
      </c>
      <c r="D25" s="935">
        <f t="shared" si="2"/>
        <v>0</v>
      </c>
      <c r="E25" s="935">
        <f t="shared" si="3"/>
        <v>0</v>
      </c>
      <c r="F25" s="1794">
        <f t="shared" si="4"/>
        <v>0</v>
      </c>
      <c r="G25" s="929"/>
      <c r="H25" s="929"/>
      <c r="I25" s="1773"/>
    </row>
    <row r="26" spans="1:9" ht="15.75">
      <c r="A26" s="1793">
        <v>21</v>
      </c>
      <c r="B26" s="935">
        <f t="shared" si="1"/>
        <v>0</v>
      </c>
      <c r="C26" s="935">
        <f t="shared" si="0"/>
        <v>0</v>
      </c>
      <c r="D26" s="935">
        <f t="shared" si="2"/>
        <v>0</v>
      </c>
      <c r="E26" s="935">
        <f t="shared" si="3"/>
        <v>0</v>
      </c>
      <c r="F26" s="1794">
        <f t="shared" si="4"/>
        <v>0</v>
      </c>
      <c r="G26" s="929"/>
      <c r="H26" s="929"/>
      <c r="I26" s="1773"/>
    </row>
    <row r="27" spans="1:9" ht="15.75">
      <c r="A27" s="1793">
        <v>22</v>
      </c>
      <c r="B27" s="935">
        <f t="shared" si="1"/>
        <v>0</v>
      </c>
      <c r="C27" s="935">
        <f t="shared" si="0"/>
        <v>0</v>
      </c>
      <c r="D27" s="935">
        <f t="shared" si="2"/>
        <v>0</v>
      </c>
      <c r="E27" s="935">
        <f t="shared" si="3"/>
        <v>0</v>
      </c>
      <c r="F27" s="1794">
        <f t="shared" si="4"/>
        <v>0</v>
      </c>
      <c r="G27" s="1784">
        <f>SUM(E16:E27)</f>
        <v>0</v>
      </c>
      <c r="H27" s="1776">
        <f>SUM(F16:F27)</f>
        <v>0</v>
      </c>
      <c r="I27" s="1777">
        <v>2021</v>
      </c>
    </row>
    <row r="28" spans="1:9" ht="15.75">
      <c r="A28" s="1795">
        <v>23</v>
      </c>
      <c r="B28" s="1796">
        <f t="shared" si="1"/>
        <v>0</v>
      </c>
      <c r="C28" s="1796">
        <f t="shared" si="0"/>
        <v>0</v>
      </c>
      <c r="D28" s="1796">
        <f t="shared" si="2"/>
        <v>0</v>
      </c>
      <c r="E28" s="1796">
        <f t="shared" si="3"/>
        <v>0</v>
      </c>
      <c r="F28" s="1797">
        <f t="shared" si="4"/>
        <v>0</v>
      </c>
      <c r="G28" s="929"/>
      <c r="H28" s="929"/>
      <c r="I28" s="1773"/>
    </row>
    <row r="29" spans="1:9" ht="15.75">
      <c r="A29" s="1795">
        <v>24</v>
      </c>
      <c r="B29" s="1796">
        <f t="shared" si="1"/>
        <v>0</v>
      </c>
      <c r="C29" s="1796">
        <f t="shared" si="0"/>
        <v>0</v>
      </c>
      <c r="D29" s="1796">
        <f t="shared" si="2"/>
        <v>0</v>
      </c>
      <c r="E29" s="1796">
        <f t="shared" si="3"/>
        <v>0</v>
      </c>
      <c r="F29" s="1797">
        <f t="shared" si="4"/>
        <v>0</v>
      </c>
      <c r="G29" s="929"/>
      <c r="H29" s="929"/>
      <c r="I29" s="1773"/>
    </row>
    <row r="30" spans="1:9" ht="15.75">
      <c r="A30" s="1795">
        <v>25</v>
      </c>
      <c r="B30" s="1796">
        <f t="shared" si="1"/>
        <v>0</v>
      </c>
      <c r="C30" s="1796">
        <f t="shared" si="0"/>
        <v>0</v>
      </c>
      <c r="D30" s="1796">
        <f t="shared" si="2"/>
        <v>0</v>
      </c>
      <c r="E30" s="1796">
        <f t="shared" si="3"/>
        <v>0</v>
      </c>
      <c r="F30" s="1797">
        <f t="shared" si="4"/>
        <v>0</v>
      </c>
      <c r="G30" s="929"/>
      <c r="H30" s="929"/>
      <c r="I30" s="1773"/>
    </row>
    <row r="31" spans="1:9" ht="15.75">
      <c r="A31" s="1795">
        <v>26</v>
      </c>
      <c r="B31" s="1796">
        <f t="shared" si="1"/>
        <v>0</v>
      </c>
      <c r="C31" s="1796">
        <f t="shared" si="0"/>
        <v>0</v>
      </c>
      <c r="D31" s="1796">
        <f t="shared" si="2"/>
        <v>0</v>
      </c>
      <c r="E31" s="1796">
        <f t="shared" si="3"/>
        <v>0</v>
      </c>
      <c r="F31" s="1797">
        <f t="shared" si="4"/>
        <v>0</v>
      </c>
      <c r="G31" s="929"/>
      <c r="H31" s="929"/>
      <c r="I31" s="1773"/>
    </row>
    <row r="32" spans="1:9" ht="15.75">
      <c r="A32" s="1795">
        <v>27</v>
      </c>
      <c r="B32" s="1796">
        <f t="shared" si="1"/>
        <v>0</v>
      </c>
      <c r="C32" s="1796">
        <f t="shared" si="0"/>
        <v>0</v>
      </c>
      <c r="D32" s="1796">
        <f t="shared" si="2"/>
        <v>0</v>
      </c>
      <c r="E32" s="1796">
        <f t="shared" si="3"/>
        <v>0</v>
      </c>
      <c r="F32" s="1797">
        <f t="shared" si="4"/>
        <v>0</v>
      </c>
      <c r="G32" s="929"/>
      <c r="H32" s="929"/>
      <c r="I32" s="1773"/>
    </row>
    <row r="33" spans="1:9" ht="15.75">
      <c r="A33" s="1795">
        <v>28</v>
      </c>
      <c r="B33" s="1796">
        <f t="shared" si="1"/>
        <v>0</v>
      </c>
      <c r="C33" s="1796">
        <f t="shared" si="0"/>
        <v>0</v>
      </c>
      <c r="D33" s="1796">
        <f t="shared" si="2"/>
        <v>0</v>
      </c>
      <c r="E33" s="1796">
        <f t="shared" si="3"/>
        <v>0</v>
      </c>
      <c r="F33" s="1797">
        <f t="shared" si="4"/>
        <v>0</v>
      </c>
      <c r="G33" s="929"/>
      <c r="H33" s="929"/>
      <c r="I33" s="1773"/>
    </row>
    <row r="34" spans="1:9" ht="15.75">
      <c r="A34" s="1795">
        <v>29</v>
      </c>
      <c r="B34" s="1796">
        <f t="shared" si="1"/>
        <v>0</v>
      </c>
      <c r="C34" s="1796">
        <f t="shared" si="0"/>
        <v>0</v>
      </c>
      <c r="D34" s="1796">
        <f t="shared" si="2"/>
        <v>0</v>
      </c>
      <c r="E34" s="1796">
        <f t="shared" si="3"/>
        <v>0</v>
      </c>
      <c r="F34" s="1797">
        <f t="shared" si="4"/>
        <v>0</v>
      </c>
      <c r="G34" s="929"/>
      <c r="H34" s="929"/>
      <c r="I34" s="1773"/>
    </row>
    <row r="35" spans="1:9" ht="15.75">
      <c r="A35" s="1795">
        <v>30</v>
      </c>
      <c r="B35" s="1796">
        <f t="shared" si="1"/>
        <v>0</v>
      </c>
      <c r="C35" s="1796">
        <f t="shared" si="0"/>
        <v>0</v>
      </c>
      <c r="D35" s="1796">
        <f t="shared" si="2"/>
        <v>0</v>
      </c>
      <c r="E35" s="1796">
        <f t="shared" si="3"/>
        <v>0</v>
      </c>
      <c r="F35" s="1797">
        <f t="shared" si="4"/>
        <v>0</v>
      </c>
      <c r="G35" s="929"/>
      <c r="H35" s="929"/>
      <c r="I35" s="1773"/>
    </row>
    <row r="36" spans="1:9" ht="15.75">
      <c r="A36" s="1795">
        <v>31</v>
      </c>
      <c r="B36" s="1796">
        <f t="shared" si="1"/>
        <v>0</v>
      </c>
      <c r="C36" s="1796">
        <f t="shared" si="0"/>
        <v>0</v>
      </c>
      <c r="D36" s="1796">
        <f t="shared" si="2"/>
        <v>0</v>
      </c>
      <c r="E36" s="1796">
        <f t="shared" si="3"/>
        <v>0</v>
      </c>
      <c r="F36" s="1797">
        <f t="shared" si="4"/>
        <v>0</v>
      </c>
      <c r="G36" s="929"/>
      <c r="H36" s="929"/>
      <c r="I36" s="1773"/>
    </row>
    <row r="37" spans="1:9" ht="15.75">
      <c r="A37" s="1795">
        <v>32</v>
      </c>
      <c r="B37" s="1796">
        <f t="shared" si="1"/>
        <v>0</v>
      </c>
      <c r="C37" s="1796">
        <f t="shared" si="0"/>
        <v>0</v>
      </c>
      <c r="D37" s="1796">
        <f t="shared" si="2"/>
        <v>0</v>
      </c>
      <c r="E37" s="1796">
        <f t="shared" si="3"/>
        <v>0</v>
      </c>
      <c r="F37" s="1797">
        <f t="shared" si="4"/>
        <v>0</v>
      </c>
      <c r="G37" s="929"/>
      <c r="H37" s="929"/>
      <c r="I37" s="1773"/>
    </row>
    <row r="38" spans="1:9" ht="15.75">
      <c r="A38" s="1795">
        <v>33</v>
      </c>
      <c r="B38" s="1796">
        <f t="shared" si="1"/>
        <v>0</v>
      </c>
      <c r="C38" s="1796">
        <f t="shared" ref="C38:C65" si="5">C$5/12</f>
        <v>0</v>
      </c>
      <c r="D38" s="1796">
        <f t="shared" si="2"/>
        <v>0</v>
      </c>
      <c r="E38" s="1796">
        <f t="shared" si="3"/>
        <v>0</v>
      </c>
      <c r="F38" s="1797">
        <f t="shared" si="4"/>
        <v>0</v>
      </c>
      <c r="G38" s="929"/>
      <c r="H38" s="929"/>
      <c r="I38" s="1773"/>
    </row>
    <row r="39" spans="1:9" ht="15.75">
      <c r="A39" s="1795">
        <v>34</v>
      </c>
      <c r="B39" s="1796">
        <f t="shared" si="1"/>
        <v>0</v>
      </c>
      <c r="C39" s="1796">
        <f t="shared" si="5"/>
        <v>0</v>
      </c>
      <c r="D39" s="1796">
        <f t="shared" si="2"/>
        <v>0</v>
      </c>
      <c r="E39" s="1796">
        <f t="shared" si="3"/>
        <v>0</v>
      </c>
      <c r="F39" s="1797">
        <f t="shared" si="4"/>
        <v>0</v>
      </c>
      <c r="G39" s="1784">
        <f>SUM(E28:E39)</f>
        <v>0</v>
      </c>
      <c r="H39" s="1776">
        <f>SUM(F28:F39)</f>
        <v>0</v>
      </c>
      <c r="I39" s="1777">
        <v>2022</v>
      </c>
    </row>
    <row r="40" spans="1:9" ht="15.75">
      <c r="A40" s="1793">
        <v>35</v>
      </c>
      <c r="B40" s="935">
        <f t="shared" si="1"/>
        <v>0</v>
      </c>
      <c r="C40" s="935">
        <f t="shared" si="5"/>
        <v>0</v>
      </c>
      <c r="D40" s="935">
        <f t="shared" si="2"/>
        <v>0</v>
      </c>
      <c r="E40" s="935">
        <f t="shared" si="3"/>
        <v>0</v>
      </c>
      <c r="F40" s="1794">
        <f t="shared" si="4"/>
        <v>0</v>
      </c>
      <c r="G40" s="929"/>
      <c r="H40" s="929"/>
      <c r="I40" s="1773"/>
    </row>
    <row r="41" spans="1:9" ht="15.75">
      <c r="A41" s="1793">
        <v>36</v>
      </c>
      <c r="B41" s="935">
        <f t="shared" si="1"/>
        <v>0</v>
      </c>
      <c r="C41" s="935">
        <f t="shared" si="5"/>
        <v>0</v>
      </c>
      <c r="D41" s="935">
        <f t="shared" si="2"/>
        <v>0</v>
      </c>
      <c r="E41" s="935">
        <f t="shared" si="3"/>
        <v>0</v>
      </c>
      <c r="F41" s="1794">
        <f t="shared" si="4"/>
        <v>0</v>
      </c>
      <c r="G41" s="929"/>
      <c r="H41" s="929"/>
      <c r="I41" s="1773"/>
    </row>
    <row r="42" spans="1:9" ht="15.75">
      <c r="A42" s="1798">
        <v>37</v>
      </c>
      <c r="B42" s="935">
        <f t="shared" si="1"/>
        <v>0</v>
      </c>
      <c r="C42" s="935">
        <f t="shared" si="5"/>
        <v>0</v>
      </c>
      <c r="D42" s="935">
        <f t="shared" si="2"/>
        <v>0</v>
      </c>
      <c r="E42" s="935">
        <f t="shared" si="3"/>
        <v>0</v>
      </c>
      <c r="F42" s="1794">
        <f t="shared" si="4"/>
        <v>0</v>
      </c>
      <c r="G42" s="1778"/>
      <c r="H42" s="1778"/>
      <c r="I42" s="1779"/>
    </row>
    <row r="43" spans="1:9" ht="15.75">
      <c r="A43" s="1798">
        <v>38</v>
      </c>
      <c r="B43" s="935">
        <f t="shared" si="1"/>
        <v>0</v>
      </c>
      <c r="C43" s="935">
        <f t="shared" si="5"/>
        <v>0</v>
      </c>
      <c r="D43" s="935">
        <f t="shared" si="2"/>
        <v>0</v>
      </c>
      <c r="E43" s="935">
        <f t="shared" si="3"/>
        <v>0</v>
      </c>
      <c r="F43" s="1794">
        <f t="shared" si="4"/>
        <v>0</v>
      </c>
      <c r="G43" s="1780"/>
      <c r="H43" s="1780"/>
      <c r="I43" s="1781"/>
    </row>
    <row r="44" spans="1:9" ht="15.75">
      <c r="A44" s="1798">
        <v>39</v>
      </c>
      <c r="B44" s="935">
        <f t="shared" si="1"/>
        <v>0</v>
      </c>
      <c r="C44" s="935">
        <f t="shared" si="5"/>
        <v>0</v>
      </c>
      <c r="D44" s="935">
        <f t="shared" si="2"/>
        <v>0</v>
      </c>
      <c r="E44" s="935">
        <f t="shared" si="3"/>
        <v>0</v>
      </c>
      <c r="F44" s="1794">
        <f t="shared" si="4"/>
        <v>0</v>
      </c>
      <c r="G44" s="929"/>
      <c r="H44" s="929"/>
      <c r="I44" s="1773"/>
    </row>
    <row r="45" spans="1:9" ht="15.75">
      <c r="A45" s="1798">
        <v>40</v>
      </c>
      <c r="B45" s="935">
        <f t="shared" si="1"/>
        <v>0</v>
      </c>
      <c r="C45" s="935">
        <f t="shared" si="5"/>
        <v>0</v>
      </c>
      <c r="D45" s="935">
        <f t="shared" si="2"/>
        <v>0</v>
      </c>
      <c r="E45" s="935">
        <f t="shared" si="3"/>
        <v>0</v>
      </c>
      <c r="F45" s="1794">
        <f t="shared" si="4"/>
        <v>0</v>
      </c>
      <c r="G45" s="929"/>
      <c r="H45" s="929"/>
      <c r="I45" s="1773"/>
    </row>
    <row r="46" spans="1:9" ht="15.75">
      <c r="A46" s="1798">
        <v>41</v>
      </c>
      <c r="B46" s="935">
        <f t="shared" si="1"/>
        <v>0</v>
      </c>
      <c r="C46" s="935">
        <f t="shared" si="5"/>
        <v>0</v>
      </c>
      <c r="D46" s="935">
        <f t="shared" si="2"/>
        <v>0</v>
      </c>
      <c r="E46" s="935">
        <f t="shared" si="3"/>
        <v>0</v>
      </c>
      <c r="F46" s="1794">
        <f t="shared" si="4"/>
        <v>0</v>
      </c>
      <c r="G46" s="929"/>
      <c r="H46" s="929"/>
      <c r="I46" s="1773"/>
    </row>
    <row r="47" spans="1:9" ht="15.75">
      <c r="A47" s="1798">
        <v>42</v>
      </c>
      <c r="B47" s="935">
        <f t="shared" si="1"/>
        <v>0</v>
      </c>
      <c r="C47" s="935">
        <f t="shared" si="5"/>
        <v>0</v>
      </c>
      <c r="D47" s="935">
        <f t="shared" si="2"/>
        <v>0</v>
      </c>
      <c r="E47" s="935">
        <f t="shared" si="3"/>
        <v>0</v>
      </c>
      <c r="F47" s="1794">
        <f t="shared" si="4"/>
        <v>0</v>
      </c>
      <c r="G47" s="929"/>
      <c r="H47" s="929"/>
      <c r="I47" s="1773"/>
    </row>
    <row r="48" spans="1:9" ht="15.75">
      <c r="A48" s="1798">
        <v>43</v>
      </c>
      <c r="B48" s="935">
        <f t="shared" si="1"/>
        <v>0</v>
      </c>
      <c r="C48" s="935">
        <f t="shared" si="5"/>
        <v>0</v>
      </c>
      <c r="D48" s="935">
        <f t="shared" si="2"/>
        <v>0</v>
      </c>
      <c r="E48" s="935">
        <f t="shared" si="3"/>
        <v>0</v>
      </c>
      <c r="F48" s="1794">
        <f t="shared" si="4"/>
        <v>0</v>
      </c>
      <c r="G48" s="929"/>
      <c r="H48" s="929"/>
      <c r="I48" s="1773"/>
    </row>
    <row r="49" spans="1:9" ht="15.75">
      <c r="A49" s="1798">
        <v>44</v>
      </c>
      <c r="B49" s="935">
        <f t="shared" si="1"/>
        <v>0</v>
      </c>
      <c r="C49" s="935">
        <f t="shared" si="5"/>
        <v>0</v>
      </c>
      <c r="D49" s="935">
        <f t="shared" si="2"/>
        <v>0</v>
      </c>
      <c r="E49" s="935">
        <f t="shared" si="3"/>
        <v>0</v>
      </c>
      <c r="F49" s="1794">
        <f t="shared" si="4"/>
        <v>0</v>
      </c>
      <c r="G49" s="929"/>
      <c r="H49" s="929"/>
      <c r="I49" s="1773"/>
    </row>
    <row r="50" spans="1:9" ht="15.75">
      <c r="A50" s="1798">
        <v>45</v>
      </c>
      <c r="B50" s="935">
        <f t="shared" si="1"/>
        <v>0</v>
      </c>
      <c r="C50" s="935">
        <f t="shared" si="5"/>
        <v>0</v>
      </c>
      <c r="D50" s="935">
        <f t="shared" si="2"/>
        <v>0</v>
      </c>
      <c r="E50" s="935">
        <f t="shared" si="3"/>
        <v>0</v>
      </c>
      <c r="F50" s="1794">
        <f t="shared" si="4"/>
        <v>0</v>
      </c>
      <c r="G50" s="929"/>
      <c r="H50" s="929"/>
      <c r="I50" s="1773"/>
    </row>
    <row r="51" spans="1:9" ht="15.75">
      <c r="A51" s="1798">
        <v>46</v>
      </c>
      <c r="B51" s="935">
        <f t="shared" si="1"/>
        <v>0</v>
      </c>
      <c r="C51" s="935">
        <f t="shared" si="5"/>
        <v>0</v>
      </c>
      <c r="D51" s="935">
        <f t="shared" si="2"/>
        <v>0</v>
      </c>
      <c r="E51" s="935">
        <f t="shared" si="3"/>
        <v>0</v>
      </c>
      <c r="F51" s="1794">
        <f t="shared" si="4"/>
        <v>0</v>
      </c>
      <c r="G51" s="1786">
        <f>SUM(E40:E51)</f>
        <v>0</v>
      </c>
      <c r="H51" s="1782">
        <f>SUM(F40:F51)</f>
        <v>0</v>
      </c>
      <c r="I51" s="1783">
        <v>2023</v>
      </c>
    </row>
    <row r="52" spans="1:9" ht="15.75">
      <c r="A52" s="1799">
        <v>47</v>
      </c>
      <c r="B52" s="1800">
        <f t="shared" si="1"/>
        <v>0</v>
      </c>
      <c r="C52" s="1800">
        <f t="shared" si="5"/>
        <v>0</v>
      </c>
      <c r="D52" s="1800">
        <f t="shared" si="2"/>
        <v>0</v>
      </c>
      <c r="E52" s="1800">
        <f t="shared" si="3"/>
        <v>0</v>
      </c>
      <c r="F52" s="1801">
        <f t="shared" si="4"/>
        <v>0</v>
      </c>
      <c r="G52" s="929"/>
      <c r="H52" s="929"/>
      <c r="I52" s="1773"/>
    </row>
    <row r="53" spans="1:9" ht="15.75">
      <c r="A53" s="1799">
        <v>48</v>
      </c>
      <c r="B53" s="1800">
        <f t="shared" si="1"/>
        <v>0</v>
      </c>
      <c r="C53" s="1800">
        <f t="shared" si="5"/>
        <v>0</v>
      </c>
      <c r="D53" s="1800">
        <f t="shared" si="2"/>
        <v>0</v>
      </c>
      <c r="E53" s="1800">
        <f t="shared" si="3"/>
        <v>0</v>
      </c>
      <c r="F53" s="1801">
        <f t="shared" si="4"/>
        <v>0</v>
      </c>
      <c r="G53" s="929"/>
      <c r="H53" s="929"/>
      <c r="I53" s="1773"/>
    </row>
    <row r="54" spans="1:9" ht="15.75">
      <c r="A54" s="1799">
        <v>49</v>
      </c>
      <c r="B54" s="1800">
        <f t="shared" si="1"/>
        <v>0</v>
      </c>
      <c r="C54" s="1800">
        <f t="shared" si="5"/>
        <v>0</v>
      </c>
      <c r="D54" s="1800">
        <f t="shared" si="2"/>
        <v>0</v>
      </c>
      <c r="E54" s="1800">
        <f t="shared" si="3"/>
        <v>0</v>
      </c>
      <c r="F54" s="1801">
        <f t="shared" si="4"/>
        <v>0</v>
      </c>
      <c r="G54" s="929"/>
      <c r="H54" s="929"/>
      <c r="I54" s="1773"/>
    </row>
    <row r="55" spans="1:9" ht="15.75">
      <c r="A55" s="1799">
        <v>50</v>
      </c>
      <c r="B55" s="1800">
        <f t="shared" si="1"/>
        <v>0</v>
      </c>
      <c r="C55" s="1800">
        <f t="shared" si="5"/>
        <v>0</v>
      </c>
      <c r="D55" s="1800">
        <f t="shared" si="2"/>
        <v>0</v>
      </c>
      <c r="E55" s="1800">
        <f t="shared" si="3"/>
        <v>0</v>
      </c>
      <c r="F55" s="1801">
        <f t="shared" si="4"/>
        <v>0</v>
      </c>
      <c r="G55" s="929"/>
      <c r="H55" s="929"/>
      <c r="I55" s="1773"/>
    </row>
    <row r="56" spans="1:9" ht="15.75">
      <c r="A56" s="1799">
        <v>51</v>
      </c>
      <c r="B56" s="1800">
        <f t="shared" si="1"/>
        <v>0</v>
      </c>
      <c r="C56" s="1800">
        <f t="shared" si="5"/>
        <v>0</v>
      </c>
      <c r="D56" s="1800">
        <f t="shared" si="2"/>
        <v>0</v>
      </c>
      <c r="E56" s="1800">
        <f t="shared" si="3"/>
        <v>0</v>
      </c>
      <c r="F56" s="1801">
        <f t="shared" si="4"/>
        <v>0</v>
      </c>
      <c r="G56" s="1784"/>
      <c r="H56" s="1784"/>
      <c r="I56" s="1777"/>
    </row>
    <row r="57" spans="1:9" ht="15.75">
      <c r="A57" s="1799">
        <v>52</v>
      </c>
      <c r="B57" s="1800">
        <f t="shared" si="1"/>
        <v>0</v>
      </c>
      <c r="C57" s="1800">
        <f t="shared" si="5"/>
        <v>0</v>
      </c>
      <c r="D57" s="1800">
        <f t="shared" si="2"/>
        <v>0</v>
      </c>
      <c r="E57" s="1800">
        <f t="shared" si="3"/>
        <v>0</v>
      </c>
      <c r="F57" s="1801">
        <f t="shared" si="4"/>
        <v>0</v>
      </c>
      <c r="G57" s="929"/>
      <c r="H57" s="929"/>
      <c r="I57" s="1773"/>
    </row>
    <row r="58" spans="1:9" ht="15.75">
      <c r="A58" s="1799">
        <v>53</v>
      </c>
      <c r="B58" s="1800">
        <f t="shared" si="1"/>
        <v>0</v>
      </c>
      <c r="C58" s="1800">
        <f t="shared" si="5"/>
        <v>0</v>
      </c>
      <c r="D58" s="1800">
        <f t="shared" si="2"/>
        <v>0</v>
      </c>
      <c r="E58" s="1800">
        <f t="shared" si="3"/>
        <v>0</v>
      </c>
      <c r="F58" s="1801">
        <f t="shared" si="4"/>
        <v>0</v>
      </c>
      <c r="G58" s="929"/>
      <c r="H58" s="929"/>
      <c r="I58" s="1773"/>
    </row>
    <row r="59" spans="1:9" ht="15.75">
      <c r="A59" s="1799">
        <v>54</v>
      </c>
      <c r="B59" s="1800">
        <f t="shared" si="1"/>
        <v>0</v>
      </c>
      <c r="C59" s="1800">
        <f t="shared" si="5"/>
        <v>0</v>
      </c>
      <c r="D59" s="1800">
        <f t="shared" si="2"/>
        <v>0</v>
      </c>
      <c r="E59" s="1800">
        <f t="shared" si="3"/>
        <v>0</v>
      </c>
      <c r="F59" s="1801">
        <f t="shared" si="4"/>
        <v>0</v>
      </c>
      <c r="G59" s="929"/>
      <c r="H59" s="929"/>
      <c r="I59" s="1773"/>
    </row>
    <row r="60" spans="1:9" ht="15.75">
      <c r="A60" s="1799">
        <v>55</v>
      </c>
      <c r="B60" s="1800">
        <f t="shared" si="1"/>
        <v>0</v>
      </c>
      <c r="C60" s="1800">
        <f t="shared" si="5"/>
        <v>0</v>
      </c>
      <c r="D60" s="1800">
        <f t="shared" si="2"/>
        <v>0</v>
      </c>
      <c r="E60" s="1800">
        <f t="shared" si="3"/>
        <v>0</v>
      </c>
      <c r="F60" s="1801">
        <f t="shared" si="4"/>
        <v>0</v>
      </c>
      <c r="G60" s="929"/>
      <c r="H60" s="929"/>
      <c r="I60" s="1773"/>
    </row>
    <row r="61" spans="1:9" ht="15.75">
      <c r="A61" s="1799">
        <v>56</v>
      </c>
      <c r="B61" s="1800">
        <f t="shared" si="1"/>
        <v>0</v>
      </c>
      <c r="C61" s="1800">
        <f t="shared" si="5"/>
        <v>0</v>
      </c>
      <c r="D61" s="1800">
        <f t="shared" si="2"/>
        <v>0</v>
      </c>
      <c r="E61" s="1800">
        <f t="shared" si="3"/>
        <v>0</v>
      </c>
      <c r="F61" s="1801">
        <f t="shared" si="4"/>
        <v>0</v>
      </c>
      <c r="G61" s="929"/>
      <c r="H61" s="929"/>
      <c r="I61" s="1773"/>
    </row>
    <row r="62" spans="1:9" ht="15.75">
      <c r="A62" s="1799">
        <v>57</v>
      </c>
      <c r="B62" s="1800">
        <f t="shared" si="1"/>
        <v>0</v>
      </c>
      <c r="C62" s="1800">
        <f t="shared" si="5"/>
        <v>0</v>
      </c>
      <c r="D62" s="1800">
        <f t="shared" si="2"/>
        <v>0</v>
      </c>
      <c r="E62" s="1800">
        <f t="shared" si="3"/>
        <v>0</v>
      </c>
      <c r="F62" s="1801">
        <f t="shared" si="4"/>
        <v>0</v>
      </c>
      <c r="G62" s="929"/>
      <c r="H62" s="929"/>
      <c r="I62" s="1773"/>
    </row>
    <row r="63" spans="1:9" ht="15.75">
      <c r="A63" s="1799">
        <v>58</v>
      </c>
      <c r="B63" s="1800">
        <f t="shared" si="1"/>
        <v>0</v>
      </c>
      <c r="C63" s="1800">
        <f t="shared" si="5"/>
        <v>0</v>
      </c>
      <c r="D63" s="1800">
        <f t="shared" si="2"/>
        <v>0</v>
      </c>
      <c r="E63" s="1800">
        <f t="shared" si="3"/>
        <v>0</v>
      </c>
      <c r="F63" s="1801">
        <f t="shared" si="4"/>
        <v>0</v>
      </c>
      <c r="G63" s="1784">
        <f>SUM(E52:E63)</f>
        <v>0</v>
      </c>
      <c r="H63" s="1776">
        <f>SUM(F52:F63)</f>
        <v>0</v>
      </c>
      <c r="I63" s="1777">
        <v>2024</v>
      </c>
    </row>
    <row r="64" spans="1:9" ht="15.75">
      <c r="A64" s="1798">
        <v>59</v>
      </c>
      <c r="B64" s="935">
        <f t="shared" si="1"/>
        <v>0</v>
      </c>
      <c r="C64" s="935">
        <f t="shared" si="5"/>
        <v>0</v>
      </c>
      <c r="D64" s="935">
        <f t="shared" si="2"/>
        <v>0</v>
      </c>
      <c r="E64" s="935">
        <f t="shared" si="3"/>
        <v>0</v>
      </c>
      <c r="F64" s="1794">
        <f t="shared" si="4"/>
        <v>0</v>
      </c>
      <c r="G64" s="929"/>
      <c r="H64" s="929"/>
      <c r="I64" s="1785"/>
    </row>
    <row r="65" spans="1:9" ht="15.75">
      <c r="A65" s="1798">
        <v>60</v>
      </c>
      <c r="B65" s="935">
        <f t="shared" si="1"/>
        <v>0</v>
      </c>
      <c r="C65" s="935">
        <f t="shared" si="5"/>
        <v>0</v>
      </c>
      <c r="D65" s="935">
        <f t="shared" si="2"/>
        <v>0</v>
      </c>
      <c r="E65" s="935">
        <f t="shared" si="3"/>
        <v>0</v>
      </c>
      <c r="F65" s="1794">
        <f t="shared" si="4"/>
        <v>0</v>
      </c>
      <c r="G65" s="1786">
        <f>E64+E65</f>
        <v>0</v>
      </c>
      <c r="H65" s="1782">
        <f>F64+F65</f>
        <v>0</v>
      </c>
      <c r="I65" s="1783">
        <v>2025</v>
      </c>
    </row>
    <row r="66" spans="1:9" ht="15.75">
      <c r="A66" s="2357" t="s">
        <v>467</v>
      </c>
      <c r="B66" s="2357"/>
      <c r="C66" s="2357"/>
      <c r="D66" s="1803">
        <f>SUM(D6:D65)</f>
        <v>0</v>
      </c>
      <c r="E66" s="1803">
        <f t="shared" ref="E66:F66" si="6">SUM(E6:E65)</f>
        <v>0</v>
      </c>
      <c r="F66" s="1803">
        <f t="shared" si="6"/>
        <v>0</v>
      </c>
      <c r="G66" s="1787">
        <f>G65+G63+G51+G27+G15+G39</f>
        <v>0</v>
      </c>
      <c r="H66" s="1787">
        <f>H65+H63+H51+H27+H15+H39</f>
        <v>0</v>
      </c>
      <c r="I66" s="1804">
        <f>H66-G66</f>
        <v>0</v>
      </c>
    </row>
  </sheetData>
  <mergeCells count="8">
    <mergeCell ref="A66:C66"/>
    <mergeCell ref="A2:F2"/>
    <mergeCell ref="A3:B3"/>
    <mergeCell ref="A4:A5"/>
    <mergeCell ref="B4:B5"/>
    <mergeCell ref="D4:D5"/>
    <mergeCell ref="E4:E5"/>
    <mergeCell ref="F4: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40</vt:i4>
      </vt:variant>
      <vt:variant>
        <vt:lpstr>Именованные диапазоны</vt:lpstr>
      </vt:variant>
      <vt:variant>
        <vt:i4>26</vt:i4>
      </vt:variant>
    </vt:vector>
  </HeadingPairs>
  <TitlesOfParts>
    <vt:vector size="66" baseType="lpstr">
      <vt:lpstr>начало</vt:lpstr>
      <vt:lpstr>1.План</vt:lpstr>
      <vt:lpstr>План</vt:lpstr>
      <vt:lpstr>2.ДП</vt:lpstr>
      <vt:lpstr>ППП</vt:lpstr>
      <vt:lpstr>3-10.ДПЖ</vt:lpstr>
      <vt:lpstr>3 корм ЛОШ</vt:lpstr>
      <vt:lpstr>11-18.КОРМА</vt:lpstr>
      <vt:lpstr>Табл.1-2</vt:lpstr>
      <vt:lpstr>4.защ лош</vt:lpstr>
      <vt:lpstr>ПрСбытПрП</vt:lpstr>
      <vt:lpstr>ТРП</vt:lpstr>
      <vt:lpstr>5.ФОТ</vt:lpstr>
      <vt:lpstr>фИН РЕЗ</vt:lpstr>
      <vt:lpstr>22.ППР</vt:lpstr>
      <vt:lpstr>22.ФОТ</vt:lpstr>
      <vt:lpstr>23.Налоги</vt:lpstr>
      <vt:lpstr>24.Финрез</vt:lpstr>
      <vt:lpstr>26-27.ЭФФПР</vt:lpstr>
      <vt:lpstr>25.БалДенСр</vt:lpstr>
      <vt:lpstr>27.Безуб</vt:lpstr>
      <vt:lpstr>Риски</vt:lpstr>
      <vt:lpstr>28.ПЛАН о Фин.сост</vt:lpstr>
      <vt:lpstr>КРМД-22</vt:lpstr>
      <vt:lpstr>КРМД-23</vt:lpstr>
      <vt:lpstr>КРМД-24</vt:lpstr>
      <vt:lpstr>КРМД-25</vt:lpstr>
      <vt:lpstr>КРМД-26</vt:lpstr>
      <vt:lpstr>Затраты</vt:lpstr>
      <vt:lpstr>Кредит</vt:lpstr>
      <vt:lpstr>Лист4</vt:lpstr>
      <vt:lpstr>Лист5</vt:lpstr>
      <vt:lpstr>Лист6</vt:lpstr>
      <vt:lpstr>Лист7</vt:lpstr>
      <vt:lpstr>Лист8</vt:lpstr>
      <vt:lpstr>Лист1</vt:lpstr>
      <vt:lpstr>Лист2</vt:lpstr>
      <vt:lpstr>Касса</vt:lpstr>
      <vt:lpstr>Эффект</vt:lpstr>
      <vt:lpstr>6.Кред</vt:lpstr>
      <vt:lpstr>'1.План'!Область_печати</vt:lpstr>
      <vt:lpstr>'11-18.КОРМА'!Область_печати</vt:lpstr>
      <vt:lpstr>'22.ППР'!Область_печати</vt:lpstr>
      <vt:lpstr>'22.ФОТ'!Область_печати</vt:lpstr>
      <vt:lpstr>'23.Налоги'!Область_печати</vt:lpstr>
      <vt:lpstr>'24.Финрез'!Область_печати</vt:lpstr>
      <vt:lpstr>'25.БалДенСр'!Область_печати</vt:lpstr>
      <vt:lpstr>'26-27.ЭФФПР'!Область_печати</vt:lpstr>
      <vt:lpstr>'27.Безуб'!Область_печати</vt:lpstr>
      <vt:lpstr>'28.ПЛАН о Фин.сост'!Область_печати</vt:lpstr>
      <vt:lpstr>'3 корм ЛОШ'!Область_печати</vt:lpstr>
      <vt:lpstr>'3-10.ДПЖ'!Область_печати</vt:lpstr>
      <vt:lpstr>'4.защ лош'!Область_печати</vt:lpstr>
      <vt:lpstr>'5.ФОТ'!Область_печати</vt:lpstr>
      <vt:lpstr>'6.Кред'!Область_печати</vt:lpstr>
      <vt:lpstr>Затраты!Область_печати</vt:lpstr>
      <vt:lpstr>'КРМД-24'!Область_печати</vt:lpstr>
      <vt:lpstr>'КРМД-25'!Область_печати</vt:lpstr>
      <vt:lpstr>'КРМД-26'!Область_печати</vt:lpstr>
      <vt:lpstr>начало!Область_печати</vt:lpstr>
      <vt:lpstr>ППП!Область_печати</vt:lpstr>
      <vt:lpstr>ПрСбытПрП!Область_печати</vt:lpstr>
      <vt:lpstr>Риски!Область_печати</vt:lpstr>
      <vt:lpstr>'Табл.1-2'!Область_печати</vt:lpstr>
      <vt:lpstr>ТРП!Область_печати</vt:lpstr>
      <vt:lpstr>'фИН РЕЗ'!Область_печати</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2020-04-28T05:15:11Z</cp:lastPrinted>
  <dcterms:created xsi:type="dcterms:W3CDTF">2011-07-06T15:15:50Z</dcterms:created>
  <dcterms:modified xsi:type="dcterms:W3CDTF">2020-04-28T07:59:34Z</dcterms:modified>
</cp:coreProperties>
</file>